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995CD87-6E28-472D-9BB5-A10A5E69315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ảng tính thuế TNCN" sheetId="2" r:id="rId1"/>
    <sheet name="Tham Chieu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2" i="2" l="1"/>
  <c r="Y12" i="2"/>
  <c r="Y13" i="2"/>
  <c r="Y14" i="2"/>
  <c r="X12" i="2"/>
  <c r="X13" i="2"/>
  <c r="X14" i="2"/>
  <c r="S12" i="2"/>
  <c r="S13" i="2"/>
  <c r="S14" i="2"/>
  <c r="S11" i="2"/>
  <c r="X11" i="2" s="1"/>
  <c r="Y11" i="2" s="1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13" i="3"/>
  <c r="AD11" i="2"/>
  <c r="AC12" i="2"/>
  <c r="AC13" i="2"/>
  <c r="AC11" i="2"/>
  <c r="AA13" i="2"/>
  <c r="AA12" i="2"/>
  <c r="AA11" i="2"/>
  <c r="O21" i="2"/>
  <c r="U21" i="2" s="1"/>
  <c r="Z21" i="2" s="1"/>
  <c r="AF21" i="2" s="1"/>
  <c r="R19" i="2"/>
  <c r="W19" i="2" s="1"/>
  <c r="Q19" i="2"/>
  <c r="V19" i="2" s="1"/>
  <c r="P19" i="2"/>
  <c r="O19" i="2"/>
  <c r="R18" i="2"/>
  <c r="W18" i="2" s="1"/>
  <c r="Q18" i="2"/>
  <c r="V18" i="2" s="1"/>
  <c r="P18" i="2"/>
  <c r="O18" i="2"/>
  <c r="AG17" i="2"/>
  <c r="R17" i="2"/>
  <c r="W17" i="2" s="1"/>
  <c r="Q17" i="2"/>
  <c r="V17" i="2" s="1"/>
  <c r="P17" i="2"/>
  <c r="G17" i="2"/>
  <c r="O17" i="2" s="1"/>
  <c r="AG16" i="2"/>
  <c r="R16" i="2"/>
  <c r="W16" i="2" s="1"/>
  <c r="Q16" i="2"/>
  <c r="V16" i="2" s="1"/>
  <c r="P16" i="2"/>
  <c r="G16" i="2"/>
  <c r="O16" i="2" s="1"/>
  <c r="AE14" i="2"/>
  <c r="R14" i="2"/>
  <c r="W14" i="2" s="1"/>
  <c r="Q14" i="2"/>
  <c r="V14" i="2"/>
  <c r="P14" i="2"/>
  <c r="O14" i="2"/>
  <c r="AD13" i="2"/>
  <c r="R13" i="2"/>
  <c r="W13" i="2" s="1"/>
  <c r="Q13" i="2"/>
  <c r="V13" i="2" s="1"/>
  <c r="P13" i="2"/>
  <c r="O13" i="2"/>
  <c r="AD12" i="2"/>
  <c r="R12" i="2"/>
  <c r="W12" i="2" s="1"/>
  <c r="Q12" i="2"/>
  <c r="V12" i="2" s="1"/>
  <c r="P12" i="2"/>
  <c r="O12" i="2"/>
  <c r="R11" i="2"/>
  <c r="W11" i="2" s="1"/>
  <c r="Q11" i="2"/>
  <c r="V11" i="2" s="1"/>
  <c r="P11" i="2"/>
  <c r="O11" i="2"/>
  <c r="U16" i="2" l="1"/>
  <c r="Z16" i="2" s="1"/>
  <c r="U12" i="2"/>
  <c r="AE12" i="2"/>
  <c r="U14" i="2"/>
  <c r="U17" i="2"/>
  <c r="Z17" i="2" s="1"/>
  <c r="U11" i="2"/>
  <c r="U19" i="2"/>
  <c r="Z19" i="2" s="1"/>
  <c r="AF19" i="2" s="1"/>
  <c r="AH19" i="2" s="1"/>
  <c r="U13" i="2"/>
  <c r="U18" i="2"/>
  <c r="Z18" i="2" s="1"/>
  <c r="AF18" i="2" s="1"/>
  <c r="AH18" i="2" s="1"/>
  <c r="AG18" i="2"/>
  <c r="AG21" i="2"/>
  <c r="AH21" i="2"/>
  <c r="AE13" i="2"/>
  <c r="AE11" i="2"/>
  <c r="Z13" i="2" l="1"/>
  <c r="Z14" i="2"/>
  <c r="AF14" i="2" s="1"/>
  <c r="AH14" i="2" s="1"/>
  <c r="Z11" i="2"/>
  <c r="AF11" i="2" s="1"/>
  <c r="Z12" i="2"/>
  <c r="AH12" i="2" s="1"/>
  <c r="AG19" i="2"/>
  <c r="AF13" i="2"/>
  <c r="AH13" i="2" s="1"/>
  <c r="AH11" i="2" l="1"/>
  <c r="AH23" i="2" s="1"/>
  <c r="AG11" i="2"/>
  <c r="AG14" i="2"/>
  <c r="AG12" i="2"/>
  <c r="AG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</author>
  </authors>
  <commentList>
    <comment ref="C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tên của NLĐ được trả lương trong tháng</t>
        </r>
      </text>
    </comment>
    <comment ref="U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= Tiền lương + các khoản phụ cấp NLĐ được hưởng trong tháng</t>
        </r>
      </text>
    </comment>
    <comment ref="Y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những khoản phụ cấp NLĐ được miễn - không phải tính vào TNCN theo QĐ</t>
        </r>
      </text>
    </comment>
    <comment ref="Z6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= Cột "Tổng thu nhập thực tế" - Cột "Thu nhập miễn thuế"</t>
        </r>
      </text>
    </comment>
    <comment ref="AF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TNTT=TNCT - Các khoản giảm trừ
= Cột "Thu nhập chịu thuế" - Cột "Tổng cộng"</t>
        </r>
      </text>
    </comment>
    <comment ref="AG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- Là số thuế TNCN mà NLĐ bị khấu trừ trong tháng</t>
        </r>
      </text>
    </comment>
    <comment ref="AA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163"/>
          </rPr>
          <t>A:
- NLĐ được giảm trừ bản thân 9 triệu/tháng</t>
        </r>
      </text>
    </comment>
    <comment ref="AD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số tiền BHXH, BHYT, BHTN người lao động đã bị trừ vào lương khi tham gia BHBB</t>
        </r>
      </text>
    </comment>
    <comment ref="AE7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- Là tổng cộng các khoản được giảm trừ
= Bản thân + NPT + BHBB</t>
        </r>
      </text>
    </comment>
    <comment ref="AB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Là số NPT mà NLĐ đã ĐK để tính giảm trừ gia cảnh tại công ty.</t>
        </r>
      </text>
    </comment>
    <comment ref="AC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Mỗi NPT được giảm trừ 3,6 triệu/tháng</t>
        </r>
      </text>
    </comment>
    <comment ref="E11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Giám Đốc (người sử dụng lao động)</t>
        </r>
      </text>
    </comment>
    <comment ref="AA1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Đi làm 2 nơi
Đã lấy giảm trừ tại nơi khác</t>
        </r>
      </text>
    </comment>
    <comment ref="AD1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Đi làm 2 nơi đã đóng BH tại nơi khác</t>
        </r>
      </text>
    </comment>
    <comment ref="E1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Thử việc</t>
        </r>
      </text>
    </comment>
    <comment ref="E18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Khoán việc</t>
        </r>
      </text>
    </comment>
    <comment ref="E2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163"/>
          </rPr>
          <t>A:</t>
        </r>
        <r>
          <rPr>
            <sz val="9"/>
            <color indexed="81"/>
            <rFont val="Tahoma"/>
            <family val="2"/>
            <charset val="163"/>
          </rPr>
          <t xml:space="preserve">
Vụ Việc (thời vụ)</t>
        </r>
      </text>
    </comment>
  </commentList>
</comments>
</file>

<file path=xl/sharedStrings.xml><?xml version="1.0" encoding="utf-8"?>
<sst xmlns="http://schemas.openxmlformats.org/spreadsheetml/2006/main" count="108" uniqueCount="96">
  <si>
    <t>Công ty TNHH Thương mại dịch vụ Thiên Ưng</t>
  </si>
  <si>
    <t>Số 19 Đường Nguyễn Trãi, P. Khương Trung, Q. Thanh Xuân, TP. Hà Nội</t>
  </si>
  <si>
    <t>BẢNG TÍNH THUẾ TNCN CHO NGƯỜI LAO ĐỘNG</t>
  </si>
  <si>
    <t>Đơn vị tính: Việt Nam Đồng</t>
  </si>
  <si>
    <t>STT</t>
  </si>
  <si>
    <t>Họ Và Tên</t>
  </si>
  <si>
    <t>Chức vụ</t>
  </si>
  <si>
    <t>MST</t>
  </si>
  <si>
    <t>Tổng 
Thu Nhập
thực tế</t>
  </si>
  <si>
    <t>Thu nhập
chịu thuế</t>
  </si>
  <si>
    <t>Các khoản Giảm trừ</t>
  </si>
  <si>
    <t>Thu nhập 
Tính thuế</t>
  </si>
  <si>
    <t>Thuế TNCN 
phải khấu trừ 
T03/2017</t>
  </si>
  <si>
    <t>Bản thân</t>
  </si>
  <si>
    <t>Người PT</t>
  </si>
  <si>
    <t>BH 
bắt buộc</t>
  </si>
  <si>
    <t>Tổng cộng</t>
  </si>
  <si>
    <t>Số 
người</t>
  </si>
  <si>
    <t>Số giảm</t>
  </si>
  <si>
    <t>I</t>
  </si>
  <si>
    <t>CÁ NHÂN CƯ TRÚ</t>
  </si>
  <si>
    <t>A</t>
  </si>
  <si>
    <t>Hợp đồng lao động từ 3 tháng trở lên</t>
  </si>
  <si>
    <t>GD</t>
  </si>
  <si>
    <t>PGD</t>
  </si>
  <si>
    <t>KTT</t>
  </si>
  <si>
    <t>NVVP</t>
  </si>
  <si>
    <t>B</t>
  </si>
  <si>
    <t>Hợp đồng lao động dưới 3 tháng</t>
  </si>
  <si>
    <t>Cam kết TN</t>
  </si>
  <si>
    <t>ĐỦ ĐK</t>
  </si>
  <si>
    <t>NVBH</t>
  </si>
  <si>
    <t>đủ</t>
  </si>
  <si>
    <t>có</t>
  </si>
  <si>
    <t>Không cần (dưới 2 tr)</t>
  </si>
  <si>
    <t>không đủ</t>
  </si>
  <si>
    <t>ko có MST</t>
  </si>
  <si>
    <t>NVKD</t>
  </si>
  <si>
    <t>II</t>
  </si>
  <si>
    <t>CÁ NHÂN KHÔNG CƯ TRÚ</t>
  </si>
  <si>
    <t>Chuyên gia A</t>
  </si>
  <si>
    <t>TỔNG CỘNG (I + II)</t>
  </si>
  <si>
    <t>Người lập biểu</t>
  </si>
  <si>
    <t xml:space="preserve">Giám đốc Công ty </t>
  </si>
  <si>
    <t>( Ký, ghi rõ họ tên )</t>
  </si>
  <si>
    <t>( Ký, đóng dấu, ghi rõ họ tên )</t>
  </si>
  <si>
    <t>Tiền Lương
Thỏa thuận trên Hợp Đồng Lao Đông</t>
  </si>
  <si>
    <t>Lương Chính</t>
  </si>
  <si>
    <t>Phụ Cấp Trách Nhiệm</t>
  </si>
  <si>
    <t>Tiền Ăn</t>
  </si>
  <si>
    <t>Điện Thoại</t>
  </si>
  <si>
    <t>Ngày
Công
Thực
Tế</t>
  </si>
  <si>
    <t>VTH</t>
  </si>
  <si>
    <t>36T</t>
  </si>
  <si>
    <t>TV</t>
  </si>
  <si>
    <t>KV</t>
  </si>
  <si>
    <t>VV</t>
  </si>
  <si>
    <t>Xác Định Các khoản Miễn Thuế</t>
  </si>
  <si>
    <t>Tổng 
Thu Nhập
Miễn Thuế</t>
  </si>
  <si>
    <t>ký HĐLĐ dài hạn nơi khác</t>
  </si>
  <si>
    <t>Tiền Thưởng
(Tết)</t>
  </si>
  <si>
    <t>6T</t>
  </si>
  <si>
    <t>Làm 08/CK-TNCN</t>
  </si>
  <si>
    <t>Loại 
HĐ</t>
  </si>
  <si>
    <t>Phạm Văn A</t>
  </si>
  <si>
    <t>Nguyễn Văn B</t>
  </si>
  <si>
    <t>Đào Thị C</t>
  </si>
  <si>
    <t>Hoàng Văn D</t>
  </si>
  <si>
    <t>Nguyễn Thị T</t>
  </si>
  <si>
    <t>Đoàn Thị H</t>
  </si>
  <si>
    <t>Nguyễn Thị Thanh T</t>
  </si>
  <si>
    <t>Nguyễn Văn T</t>
  </si>
  <si>
    <t>Chưa có</t>
  </si>
  <si>
    <t>Thuế TNCN 
phải khấu trừ 
T12/2025</t>
  </si>
  <si>
    <t>TaxName</t>
  </si>
  <si>
    <t>IncomeFrom</t>
  </si>
  <si>
    <t>IncomeTo</t>
  </si>
  <si>
    <t>TaxPercent</t>
  </si>
  <si>
    <t>ProgressiveAmount</t>
  </si>
  <si>
    <t>Description</t>
  </si>
  <si>
    <t>TaxPercent100</t>
  </si>
  <si>
    <t>TAX_PERSONAL_DEDUCT</t>
  </si>
  <si>
    <t>TAX_RELATE_DEDUCT</t>
  </si>
  <si>
    <t>20260701VN</t>
  </si>
  <si>
    <t>20260702VN</t>
  </si>
  <si>
    <t>20260703VN</t>
  </si>
  <si>
    <t>20260704VN</t>
  </si>
  <si>
    <t>20260705VN</t>
  </si>
  <si>
    <t>Tăng ca 150%</t>
  </si>
  <si>
    <t>Tăng ca đêm</t>
  </si>
  <si>
    <t>Tăng ca cuối tuần</t>
  </si>
  <si>
    <t>Công</t>
  </si>
  <si>
    <t>Tiền Lương thực nhận theo ngày công đi làm thực tế trong tháng 01/2026</t>
  </si>
  <si>
    <t>Tháng 1 năm 2026</t>
  </si>
  <si>
    <t>ParadiseHR HCM, ngày 10 tháng 02 năm 2026</t>
  </si>
  <si>
    <t>Thêm giờ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</si>
</sst>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00"/>
    <numFmt numFmtId="166" formatCode="_(* #,##0_);_(* \(#,##0\);_(* &quot;-&quot;??_);_(@_)"/>
    <numFmt numFmtId="167" formatCode="_-* #,##0\ _₫_-;\-* #,##0\ _₫_-;_-* &quot;-&quot;??\ _₫_-;_-@_-"/>
  </numFmts>
  <fonts count="49" x14ac:knownFonts="1"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163"/>
    </font>
    <font>
      <b/>
      <sz val="18"/>
      <name val="Times New Roman"/>
      <family val="1"/>
    </font>
    <font>
      <b/>
      <sz val="13"/>
      <name val="Times New Roman"/>
      <family val="1"/>
    </font>
    <font>
      <b/>
      <u/>
      <sz val="10"/>
      <name val="Times New Roman"/>
      <family val="1"/>
    </font>
    <font>
      <sz val="11"/>
      <name val="Times New Roman"/>
      <family val="1"/>
      <charset val="163"/>
    </font>
    <font>
      <b/>
      <u/>
      <sz val="13"/>
      <name val="Times New Roman"/>
      <family val="1"/>
    </font>
    <font>
      <b/>
      <sz val="16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20"/>
      <name val="Times New Roman"/>
      <family val="1"/>
      <charset val="163"/>
    </font>
    <font>
      <b/>
      <sz val="9"/>
      <name val="Times New Roman"/>
      <family val="1"/>
      <charset val="163"/>
    </font>
    <font>
      <sz val="13"/>
      <color indexed="8"/>
      <name val="Times New Roman"/>
      <family val="1"/>
    </font>
    <font>
      <sz val="10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b/>
      <sz val="14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12"/>
      <color theme="0"/>
      <name val="Times New Roman"/>
      <family val="1"/>
    </font>
    <font>
      <b/>
      <sz val="9"/>
      <color theme="0"/>
      <name val="Times New Roman"/>
      <family val="1"/>
    </font>
    <font>
      <b/>
      <sz val="10"/>
      <color theme="0"/>
      <name val="Times New Roman"/>
      <family val="1"/>
    </font>
    <font>
      <sz val="12"/>
      <color theme="0"/>
      <name val="Times New Roman"/>
      <family val="1"/>
    </font>
    <font>
      <sz val="9"/>
      <color theme="0"/>
      <name val="Times New Roman"/>
      <family val="1"/>
    </font>
    <font>
      <sz val="10"/>
      <color theme="0"/>
      <name val="Times New Roman"/>
      <family val="1"/>
    </font>
    <font>
      <b/>
      <sz val="18"/>
      <color rgb="FFFF0000"/>
      <name val="Times New Roman"/>
      <family val="1"/>
    </font>
    <font>
      <b/>
      <sz val="12"/>
      <color theme="0"/>
      <name val="Times New Roman"/>
      <family val="1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8"/>
      <color theme="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34A3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8D54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3">
    <xf numFmtId="0" fontId="0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28">
    <xf numFmtId="0" fontId="0" fillId="0" borderId="0" xfId="0"/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66" fontId="12" fillId="0" borderId="0" xfId="1" applyNumberFormat="1" applyFont="1" applyAlignment="1">
      <alignment vertical="center"/>
    </xf>
    <xf numFmtId="3" fontId="13" fillId="0" borderId="1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1" fontId="18" fillId="0" borderId="3" xfId="1" applyNumberFormat="1" applyFont="1" applyBorder="1" applyAlignment="1">
      <alignment horizontal="center" vertical="center" wrapText="1"/>
    </xf>
    <xf numFmtId="166" fontId="16" fillId="0" borderId="3" xfId="1" applyNumberFormat="1" applyFont="1" applyBorder="1" applyAlignment="1">
      <alignment horizontal="center" vertical="center"/>
    </xf>
    <xf numFmtId="3" fontId="28" fillId="0" borderId="0" xfId="0" applyNumberFormat="1" applyFont="1" applyAlignment="1">
      <alignment vertical="center"/>
    </xf>
    <xf numFmtId="165" fontId="8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3" fontId="2" fillId="0" borderId="2" xfId="1" applyNumberFormat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1" fontId="7" fillId="0" borderId="2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vertical="center"/>
    </xf>
    <xf numFmtId="3" fontId="16" fillId="0" borderId="2" xfId="1" applyNumberFormat="1" applyFont="1" applyBorder="1" applyAlignment="1">
      <alignment vertical="center"/>
    </xf>
    <xf numFmtId="1" fontId="7" fillId="0" borderId="3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12" fillId="0" borderId="3" xfId="1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3" xfId="1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/>
    </xf>
    <xf numFmtId="1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30" fillId="0" borderId="3" xfId="0" applyNumberFormat="1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3" fontId="12" fillId="0" borderId="0" xfId="0" applyNumberFormat="1" applyFont="1"/>
    <xf numFmtId="165" fontId="21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vertic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vertical="center"/>
    </xf>
    <xf numFmtId="3" fontId="8" fillId="0" borderId="3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vertical="center"/>
    </xf>
    <xf numFmtId="3" fontId="30" fillId="2" borderId="3" xfId="0" applyNumberFormat="1" applyFont="1" applyFill="1" applyBorder="1" applyAlignment="1">
      <alignment vertical="center"/>
    </xf>
    <xf numFmtId="165" fontId="31" fillId="0" borderId="0" xfId="0" applyNumberFormat="1" applyFont="1" applyAlignment="1">
      <alignment horizontal="left" vertical="center"/>
    </xf>
    <xf numFmtId="3" fontId="31" fillId="0" borderId="0" xfId="0" applyNumberFormat="1" applyFont="1" applyAlignment="1">
      <alignment vertical="center"/>
    </xf>
    <xf numFmtId="3" fontId="31" fillId="0" borderId="0" xfId="0" applyNumberFormat="1" applyFont="1" applyAlignment="1">
      <alignment horizontal="center" vertical="center"/>
    </xf>
    <xf numFmtId="3" fontId="32" fillId="0" borderId="0" xfId="0" applyNumberFormat="1" applyFont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66" fontId="31" fillId="0" borderId="0" xfId="1" applyNumberFormat="1" applyFont="1" applyAlignment="1">
      <alignment vertical="center"/>
    </xf>
    <xf numFmtId="165" fontId="34" fillId="0" borderId="0" xfId="0" applyNumberFormat="1" applyFont="1" applyAlignment="1">
      <alignment horizontal="left" vertical="center"/>
    </xf>
    <xf numFmtId="3" fontId="34" fillId="0" borderId="0" xfId="0" applyNumberFormat="1" applyFont="1" applyAlignment="1">
      <alignment vertical="center"/>
    </xf>
    <xf numFmtId="3" fontId="34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166" fontId="34" fillId="0" borderId="0" xfId="1" applyNumberFormat="1" applyFont="1" applyAlignment="1">
      <alignment vertical="center"/>
    </xf>
    <xf numFmtId="166" fontId="7" fillId="0" borderId="2" xfId="1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 vertical="center" wrapText="1"/>
    </xf>
    <xf numFmtId="3" fontId="16" fillId="0" borderId="3" xfId="1" applyNumberFormat="1" applyFont="1" applyBorder="1" applyAlignment="1">
      <alignment vertical="center"/>
    </xf>
    <xf numFmtId="3" fontId="37" fillId="0" borderId="0" xfId="0" applyNumberFormat="1" applyFont="1" applyAlignment="1">
      <alignment vertical="center"/>
    </xf>
    <xf numFmtId="165" fontId="39" fillId="6" borderId="2" xfId="0" applyNumberFormat="1" applyFont="1" applyFill="1" applyBorder="1" applyAlignment="1">
      <alignment horizontal="center" vertical="center"/>
    </xf>
    <xf numFmtId="3" fontId="39" fillId="6" borderId="5" xfId="0" applyNumberFormat="1" applyFont="1" applyFill="1" applyBorder="1" applyAlignment="1">
      <alignment vertical="center"/>
    </xf>
    <xf numFmtId="3" fontId="40" fillId="6" borderId="5" xfId="0" applyNumberFormat="1" applyFont="1" applyFill="1" applyBorder="1" applyAlignment="1">
      <alignment horizontal="center" vertical="center"/>
    </xf>
    <xf numFmtId="3" fontId="41" fillId="6" borderId="5" xfId="0" applyNumberFormat="1" applyFont="1" applyFill="1" applyBorder="1" applyAlignment="1">
      <alignment vertical="center"/>
    </xf>
    <xf numFmtId="3" fontId="38" fillId="6" borderId="3" xfId="0" applyNumberFormat="1" applyFont="1" applyFill="1" applyBorder="1" applyAlignment="1">
      <alignment vertical="center"/>
    </xf>
    <xf numFmtId="3" fontId="38" fillId="6" borderId="0" xfId="0" applyNumberFormat="1" applyFont="1" applyFill="1" applyAlignment="1">
      <alignment horizontal="center" vertical="center"/>
    </xf>
    <xf numFmtId="3" fontId="38" fillId="6" borderId="0" xfId="0" applyNumberFormat="1" applyFont="1" applyFill="1" applyAlignment="1">
      <alignment horizontal="right" vertical="center"/>
    </xf>
    <xf numFmtId="165" fontId="42" fillId="6" borderId="2" xfId="0" applyNumberFormat="1" applyFont="1" applyFill="1" applyBorder="1" applyAlignment="1">
      <alignment horizontal="center" vertical="center"/>
    </xf>
    <xf numFmtId="3" fontId="42" fillId="6" borderId="5" xfId="0" applyNumberFormat="1" applyFont="1" applyFill="1" applyBorder="1" applyAlignment="1">
      <alignment vertical="center"/>
    </xf>
    <xf numFmtId="3" fontId="43" fillId="6" borderId="5" xfId="0" applyNumberFormat="1" applyFont="1" applyFill="1" applyBorder="1" applyAlignment="1">
      <alignment horizontal="center" vertical="center"/>
    </xf>
    <xf numFmtId="3" fontId="32" fillId="6" borderId="5" xfId="0" applyNumberFormat="1" applyFont="1" applyFill="1" applyBorder="1" applyAlignment="1">
      <alignment vertical="center"/>
    </xf>
    <xf numFmtId="3" fontId="32" fillId="6" borderId="5" xfId="0" applyNumberFormat="1" applyFont="1" applyFill="1" applyBorder="1" applyAlignment="1">
      <alignment horizontal="center" vertical="center"/>
    </xf>
    <xf numFmtId="3" fontId="32" fillId="6" borderId="5" xfId="0" applyNumberFormat="1" applyFont="1" applyFill="1" applyBorder="1" applyAlignment="1">
      <alignment horizontal="center"/>
    </xf>
    <xf numFmtId="3" fontId="32" fillId="6" borderId="5" xfId="0" applyNumberFormat="1" applyFont="1" applyFill="1" applyBorder="1"/>
    <xf numFmtId="3" fontId="38" fillId="6" borderId="5" xfId="0" applyNumberFormat="1" applyFont="1" applyFill="1" applyBorder="1" applyAlignment="1">
      <alignment vertical="center"/>
    </xf>
    <xf numFmtId="3" fontId="38" fillId="6" borderId="2" xfId="1" applyNumberFormat="1" applyFont="1" applyFill="1" applyBorder="1" applyAlignment="1">
      <alignment horizontal="center" vertical="center"/>
    </xf>
    <xf numFmtId="3" fontId="38" fillId="6" borderId="2" xfId="1" applyNumberFormat="1" applyFont="1" applyFill="1" applyBorder="1" applyAlignment="1">
      <alignment horizontal="left" vertical="center"/>
    </xf>
    <xf numFmtId="3" fontId="38" fillId="6" borderId="2" xfId="0" applyNumberFormat="1" applyFont="1" applyFill="1" applyBorder="1" applyAlignment="1">
      <alignment horizontal="right" vertical="center"/>
    </xf>
    <xf numFmtId="165" fontId="45" fillId="6" borderId="3" xfId="0" applyNumberFormat="1" applyFont="1" applyFill="1" applyBorder="1" applyAlignment="1">
      <alignment horizontal="center" vertical="center"/>
    </xf>
    <xf numFmtId="3" fontId="46" fillId="6" borderId="7" xfId="0" applyNumberFormat="1" applyFont="1" applyFill="1" applyBorder="1" applyAlignment="1">
      <alignment vertical="center"/>
    </xf>
    <xf numFmtId="3" fontId="46" fillId="6" borderId="5" xfId="0" applyNumberFormat="1" applyFont="1" applyFill="1" applyBorder="1" applyAlignment="1">
      <alignment vertical="center"/>
    </xf>
    <xf numFmtId="3" fontId="1" fillId="6" borderId="5" xfId="0" applyNumberFormat="1" applyFont="1" applyFill="1" applyBorder="1" applyAlignment="1">
      <alignment vertical="center"/>
    </xf>
    <xf numFmtId="3" fontId="46" fillId="6" borderId="6" xfId="0" applyNumberFormat="1" applyFont="1" applyFill="1" applyBorder="1" applyAlignment="1">
      <alignment vertical="center"/>
    </xf>
    <xf numFmtId="3" fontId="46" fillId="6" borderId="6" xfId="0" applyNumberFormat="1" applyFont="1" applyFill="1" applyBorder="1" applyAlignment="1">
      <alignment horizontal="center" vertical="center"/>
    </xf>
    <xf numFmtId="165" fontId="47" fillId="4" borderId="2" xfId="0" applyNumberFormat="1" applyFont="1" applyFill="1" applyBorder="1" applyAlignment="1">
      <alignment horizontal="center" vertical="center"/>
    </xf>
    <xf numFmtId="3" fontId="48" fillId="4" borderId="5" xfId="0" applyNumberFormat="1" applyFont="1" applyFill="1" applyBorder="1" applyAlignment="1">
      <alignment vertical="center"/>
    </xf>
    <xf numFmtId="3" fontId="47" fillId="4" borderId="5" xfId="0" applyNumberFormat="1" applyFont="1" applyFill="1" applyBorder="1" applyAlignment="1">
      <alignment vertical="center"/>
    </xf>
    <xf numFmtId="3" fontId="32" fillId="4" borderId="5" xfId="0" applyNumberFormat="1" applyFont="1" applyFill="1" applyBorder="1" applyAlignment="1">
      <alignment vertical="center"/>
    </xf>
    <xf numFmtId="3" fontId="47" fillId="4" borderId="6" xfId="0" applyNumberFormat="1" applyFont="1" applyFill="1" applyBorder="1" applyAlignment="1">
      <alignment vertical="center"/>
    </xf>
    <xf numFmtId="3" fontId="47" fillId="4" borderId="6" xfId="0" applyNumberFormat="1" applyFont="1" applyFill="1" applyBorder="1" applyAlignment="1">
      <alignment horizontal="center" vertical="center"/>
    </xf>
    <xf numFmtId="49" fontId="47" fillId="4" borderId="6" xfId="0" applyNumberFormat="1" applyFont="1" applyFill="1" applyBorder="1" applyAlignment="1">
      <alignment horizontal="center" vertical="center"/>
    </xf>
    <xf numFmtId="49" fontId="32" fillId="4" borderId="6" xfId="0" applyNumberFormat="1" applyFont="1" applyFill="1" applyBorder="1" applyAlignment="1">
      <alignment horizontal="center" vertical="center"/>
    </xf>
    <xf numFmtId="49" fontId="31" fillId="4" borderId="6" xfId="0" applyNumberFormat="1" applyFont="1" applyFill="1" applyBorder="1" applyAlignment="1">
      <alignment horizontal="center" vertical="center"/>
    </xf>
    <xf numFmtId="167" fontId="0" fillId="0" borderId="0" xfId="1" applyNumberFormat="1" applyFont="1"/>
    <xf numFmtId="167" fontId="0" fillId="0" borderId="0" xfId="1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9" xfId="1" applyNumberFormat="1" applyFont="1" applyBorder="1"/>
    <xf numFmtId="9" fontId="0" fillId="0" borderId="19" xfId="2" applyFont="1" applyBorder="1"/>
    <xf numFmtId="0" fontId="0" fillId="0" borderId="19" xfId="0" applyBorder="1"/>
    <xf numFmtId="0" fontId="0" fillId="0" borderId="20" xfId="0" applyBorder="1"/>
    <xf numFmtId="167" fontId="0" fillId="0" borderId="0" xfId="0" applyNumberFormat="1"/>
    <xf numFmtId="167" fontId="0" fillId="0" borderId="23" xfId="1" applyNumberFormat="1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167" fontId="0" fillId="0" borderId="28" xfId="1" applyNumberFormat="1" applyFont="1" applyBorder="1"/>
    <xf numFmtId="167" fontId="0" fillId="0" borderId="29" xfId="1" applyNumberFormat="1" applyFont="1" applyBorder="1"/>
    <xf numFmtId="9" fontId="0" fillId="0" borderId="29" xfId="2" applyFont="1" applyBorder="1"/>
    <xf numFmtId="0" fontId="0" fillId="0" borderId="29" xfId="0" applyBorder="1"/>
    <xf numFmtId="0" fontId="0" fillId="0" borderId="30" xfId="0" applyBorder="1"/>
    <xf numFmtId="3" fontId="16" fillId="0" borderId="4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44" fillId="4" borderId="14" xfId="0" applyNumberFormat="1" applyFont="1" applyFill="1" applyBorder="1" applyAlignment="1">
      <alignment horizontal="center" vertical="center"/>
    </xf>
    <xf numFmtId="3" fontId="44" fillId="4" borderId="15" xfId="0" applyNumberFormat="1" applyFont="1" applyFill="1" applyBorder="1" applyAlignment="1">
      <alignment horizontal="center" vertical="center"/>
    </xf>
    <xf numFmtId="3" fontId="44" fillId="4" borderId="16" xfId="0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3" fontId="9" fillId="5" borderId="21" xfId="0" applyNumberFormat="1" applyFont="1" applyFill="1" applyBorder="1" applyAlignment="1">
      <alignment horizontal="center" vertical="center"/>
    </xf>
    <xf numFmtId="3" fontId="9" fillId="5" borderId="22" xfId="0" applyNumberFormat="1" applyFont="1" applyFill="1" applyBorder="1" applyAlignment="1">
      <alignment horizontal="center" vertical="center"/>
    </xf>
    <xf numFmtId="1" fontId="18" fillId="0" borderId="4" xfId="0" applyNumberFormat="1" applyFont="1" applyBorder="1" applyAlignment="1">
      <alignment horizontal="center" vertical="center" wrapText="1"/>
    </xf>
    <xf numFmtId="1" fontId="26" fillId="0" borderId="4" xfId="0" applyNumberFormat="1" applyFont="1" applyBorder="1" applyAlignment="1">
      <alignment horizontal="center" vertical="center" wrapText="1"/>
    </xf>
    <xf numFmtId="1" fontId="26" fillId="0" borderId="8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3" fontId="16" fillId="0" borderId="2" xfId="1" applyNumberFormat="1" applyFont="1" applyBorder="1" applyAlignment="1">
      <alignment horizontal="center" vertical="center"/>
    </xf>
    <xf numFmtId="3" fontId="16" fillId="0" borderId="7" xfId="1" applyNumberFormat="1" applyFont="1" applyBorder="1" applyAlignment="1">
      <alignment horizontal="center" vertical="top"/>
    </xf>
    <xf numFmtId="3" fontId="16" fillId="0" borderId="6" xfId="1" applyNumberFormat="1" applyFont="1" applyBorder="1" applyAlignment="1">
      <alignment horizontal="center" vertical="top"/>
    </xf>
    <xf numFmtId="3" fontId="16" fillId="0" borderId="4" xfId="1" applyNumberFormat="1" applyFont="1" applyBorder="1" applyAlignment="1">
      <alignment horizontal="center" vertical="center" wrapText="1"/>
    </xf>
    <xf numFmtId="3" fontId="30" fillId="2" borderId="7" xfId="0" applyNumberFormat="1" applyFont="1" applyFill="1" applyBorder="1" applyAlignment="1">
      <alignment horizontal="center" vertical="center"/>
    </xf>
    <xf numFmtId="3" fontId="30" fillId="2" borderId="5" xfId="0" applyNumberFormat="1" applyFont="1" applyFill="1" applyBorder="1" applyAlignment="1">
      <alignment horizontal="center" vertical="center"/>
    </xf>
    <xf numFmtId="3" fontId="30" fillId="2" borderId="6" xfId="0" applyNumberFormat="1" applyFont="1" applyFill="1" applyBorder="1" applyAlignment="1">
      <alignment horizontal="center" vertical="center"/>
    </xf>
    <xf numFmtId="3" fontId="16" fillId="3" borderId="4" xfId="1" applyNumberFormat="1" applyFont="1" applyFill="1" applyBorder="1" applyAlignment="1">
      <alignment horizontal="center" vertical="center" wrapText="1"/>
    </xf>
    <xf numFmtId="3" fontId="16" fillId="3" borderId="8" xfId="1" applyNumberFormat="1" applyFont="1" applyFill="1" applyBorder="1" applyAlignment="1">
      <alignment horizontal="center" vertical="center" wrapText="1"/>
    </xf>
    <xf numFmtId="3" fontId="16" fillId="3" borderId="2" xfId="1" applyNumberFormat="1" applyFont="1" applyFill="1" applyBorder="1" applyAlignment="1">
      <alignment horizontal="center" vertical="center" wrapText="1"/>
    </xf>
    <xf numFmtId="3" fontId="16" fillId="0" borderId="3" xfId="1" applyNumberFormat="1" applyFont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 wrapText="1"/>
    </xf>
    <xf numFmtId="3" fontId="16" fillId="0" borderId="2" xfId="1" applyNumberFormat="1" applyFont="1" applyBorder="1" applyAlignment="1">
      <alignment horizontal="center" vertical="center" wrapText="1"/>
    </xf>
    <xf numFmtId="3" fontId="29" fillId="2" borderId="3" xfId="0" applyNumberFormat="1" applyFont="1" applyFill="1" applyBorder="1" applyAlignment="1">
      <alignment horizontal="center" vertical="center" wrapText="1"/>
    </xf>
    <xf numFmtId="3" fontId="29" fillId="2" borderId="3" xfId="0" applyNumberFormat="1" applyFont="1" applyFill="1" applyBorder="1" applyAlignment="1">
      <alignment horizontal="center" vertical="center"/>
    </xf>
    <xf numFmtId="3" fontId="7" fillId="0" borderId="7" xfId="1" applyNumberFormat="1" applyFont="1" applyBorder="1" applyAlignment="1">
      <alignment horizontal="center" vertical="center"/>
    </xf>
    <xf numFmtId="3" fontId="7" fillId="0" borderId="5" xfId="1" applyNumberFormat="1" applyFont="1" applyBorder="1" applyAlignment="1">
      <alignment horizontal="center" vertical="center"/>
    </xf>
    <xf numFmtId="3" fontId="7" fillId="0" borderId="6" xfId="1" applyNumberFormat="1" applyFont="1" applyBorder="1" applyAlignment="1">
      <alignment horizontal="center" vertical="center"/>
    </xf>
    <xf numFmtId="3" fontId="38" fillId="6" borderId="5" xfId="1" applyNumberFormat="1" applyFont="1" applyFill="1" applyBorder="1" applyAlignment="1">
      <alignment horizontal="center" vertical="center"/>
    </xf>
    <xf numFmtId="3" fontId="38" fillId="6" borderId="6" xfId="1" applyNumberFormat="1" applyFont="1" applyFill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16" fillId="0" borderId="9" xfId="1" applyNumberFormat="1" applyFont="1" applyFill="1" applyBorder="1" applyAlignment="1">
      <alignment horizontal="center" vertical="center"/>
    </xf>
    <xf numFmtId="3" fontId="16" fillId="0" borderId="10" xfId="1" applyNumberFormat="1" applyFont="1" applyFill="1" applyBorder="1" applyAlignment="1">
      <alignment horizontal="center" vertical="center"/>
    </xf>
    <xf numFmtId="3" fontId="16" fillId="0" borderId="11" xfId="1" applyNumberFormat="1" applyFont="1" applyFill="1" applyBorder="1" applyAlignment="1">
      <alignment horizontal="center" vertical="center"/>
    </xf>
    <xf numFmtId="3" fontId="16" fillId="0" borderId="12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/>
    </xf>
    <xf numFmtId="3" fontId="16" fillId="0" borderId="13" xfId="1" applyNumberFormat="1" applyFont="1" applyFill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 wrapText="1"/>
    </xf>
    <xf numFmtId="1" fontId="18" fillId="0" borderId="9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1" fontId="18" fillId="0" borderId="8" xfId="0" applyNumberFormat="1" applyFont="1" applyBorder="1" applyAlignment="1">
      <alignment horizontal="center" vertical="center" wrapText="1"/>
    </xf>
    <xf numFmtId="1" fontId="26" fillId="0" borderId="9" xfId="0" applyNumberFormat="1" applyFont="1" applyBorder="1" applyAlignment="1">
      <alignment horizontal="center" vertical="center" wrapText="1"/>
    </xf>
    <xf numFmtId="1" fontId="26" fillId="0" borderId="10" xfId="0" applyNumberFormat="1" applyFont="1" applyBorder="1" applyAlignment="1">
      <alignment horizontal="center" vertical="center" wrapText="1"/>
    </xf>
    <xf numFmtId="1" fontId="26" fillId="0" borderId="11" xfId="0" applyNumberFormat="1" applyFont="1" applyBorder="1" applyAlignment="1">
      <alignment horizontal="center" vertical="center" wrapText="1"/>
    </xf>
    <xf numFmtId="1" fontId="26" fillId="0" borderId="12" xfId="0" applyNumberFormat="1" applyFont="1" applyBorder="1" applyAlignment="1">
      <alignment horizontal="center" vertical="center" wrapText="1"/>
    </xf>
    <xf numFmtId="1" fontId="26" fillId="0" borderId="0" xfId="0" applyNumberFormat="1" applyFont="1" applyBorder="1" applyAlignment="1">
      <alignment horizontal="center" vertical="center" wrapText="1"/>
    </xf>
    <xf numFmtId="1" fontId="26" fillId="0" borderId="13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vertical="center"/>
    </xf>
    <xf numFmtId="166" fontId="7" fillId="0" borderId="8" xfId="1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3" fontId="16" fillId="0" borderId="12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7" formatCode="_-* #,##0\ _₫_-;\-* #,##0\ _₫_-;_-* &quot;-&quot;??\ _₫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7" formatCode="_-* #,##0\ _₫_-;\-* #,##0\ _₫_-;_-* &quot;-&quot;??\ _₫_-;_-@_-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</dxf>
    <dxf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7" formatCode="_-* #,##0\ _₫_-;\-* #,##0\ _₫_-;_-* &quot;-&quot;??\ _₫_-;_-@_-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7" formatCode="_-* #,##0\ _₫_-;\-* #,##0\ _₫_-;_-* &quot;-&quot;??\ _₫_-;_-@_-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3"/>
        <scheme val="minor"/>
      </font>
      <numFmt numFmtId="167" formatCode="_-* #,##0\ _₫_-;\-* #,##0\ _₫_-;_-* &quot;-&quot;??\ _₫_-;_-@_-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top style="dotted">
          <color indexed="64"/>
        </top>
      </border>
    </dxf>
    <dxf>
      <border outline="0">
        <left style="dotted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dotted">
          <color indexed="64"/>
        </bottom>
      </border>
    </dxf>
    <dxf>
      <border diagonalUp="0" diagonalDown="0" outline="0">
        <left style="dotted">
          <color indexed="64"/>
        </left>
        <right style="dotted">
          <color indexed="64"/>
        </right>
        <top/>
        <bottom/>
      </border>
    </dxf>
  </dxfs>
  <tableStyles count="0" defaultTableStyle="TableStyleMedium2" defaultPivotStyle="PivotStyleLight16"/>
  <colors>
    <mruColors>
      <color rgb="FF78D54F"/>
      <color rgb="FF34A3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CB7F0-CE9C-4473-A4E5-353FDCD6047F}" name="Table1" displayName="Table1" ref="B3:G8" totalsRowShown="0" headerRowDxfId="13" headerRowBorderDxfId="12" tableBorderDxfId="11" totalsRowBorderDxfId="10">
  <tableColumns count="6">
    <tableColumn id="1" xr3:uid="{3E87731D-989A-4E4F-9852-CBCEA9ED39BA}" name="IncomeFrom" dataDxfId="9" dataCellStyle="Comma"/>
    <tableColumn id="2" xr3:uid="{E7494A35-0BC6-48DC-8E43-06104979471C}" name="IncomeTo" dataDxfId="8" dataCellStyle="Comma"/>
    <tableColumn id="3" xr3:uid="{05E3B8D8-E60F-4958-BB55-2D35A72BE449}" name="TaxPercent" dataDxfId="7" dataCellStyle="Percent"/>
    <tableColumn id="4" xr3:uid="{ABC28A68-4A07-405D-ADC6-88E5EE7CC575}" name="ProgressiveAmount" dataDxfId="6" dataCellStyle="Comma"/>
    <tableColumn id="5" xr3:uid="{0A51CAB1-EAAE-4C3C-A597-62FFE57CBCE9}" name="Description" dataDxfId="5"/>
    <tableColumn id="6" xr3:uid="{D032612F-215E-4FD7-B55E-D41694726E7D}" name="TaxPercent100" dataDxfId="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182BC0-6FC6-4410-9C2F-B3953AEC88DB}" name="Table2" displayName="Table2" ref="I3:J4" totalsRowShown="0" dataDxfId="3" tableBorderDxfId="2" dataCellStyle="Comma">
  <tableColumns count="2">
    <tableColumn id="1" xr3:uid="{55520D17-80E3-42D7-99CD-F5E0AA03CBB2}" name="TAX_PERSONAL_DEDUCT" dataDxfId="1" dataCellStyle="Comma"/>
    <tableColumn id="2" xr3:uid="{E76D1496-8CA2-425D-8B65-2F88088D49A4}" name="TAX_RELATE_DEDUC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7"/>
  <sheetViews>
    <sheetView tabSelected="1" zoomScale="71" zoomScaleNormal="85" workbookViewId="0">
      <selection activeCell="Z11" sqref="Z11"/>
    </sheetView>
  </sheetViews>
  <sheetFormatPr defaultColWidth="9" defaultRowHeight="15.6" x14ac:dyDescent="0.25"/>
  <cols>
    <col min="1" max="1" width="4.109375" style="4" customWidth="1"/>
    <col min="2" max="2" width="0.88671875" style="4" customWidth="1"/>
    <col min="3" max="3" width="25.33203125" style="48" customWidth="1"/>
    <col min="4" max="4" width="8.5546875" style="49" customWidth="1"/>
    <col min="5" max="5" width="6.5546875" style="2" customWidth="1"/>
    <col min="6" max="6" width="11.5546875" style="3" customWidth="1"/>
    <col min="7" max="7" width="12.88671875" style="3" customWidth="1"/>
    <col min="8" max="9" width="12.109375" style="3" customWidth="1"/>
    <col min="10" max="10" width="9.33203125" style="3" customWidth="1"/>
    <col min="11" max="14" width="6.109375" style="3" customWidth="1"/>
    <col min="15" max="15" width="19.44140625" style="3" customWidth="1"/>
    <col min="16" max="16" width="10.44140625" style="3" customWidth="1"/>
    <col min="17" max="17" width="10.5546875" style="3" customWidth="1"/>
    <col min="18" max="18" width="9.33203125" style="3" customWidth="1"/>
    <col min="19" max="19" width="14.77734375" style="3" customWidth="1"/>
    <col min="20" max="20" width="11.33203125" style="3" customWidth="1"/>
    <col min="21" max="21" width="13.88671875" style="50" bestFit="1" customWidth="1"/>
    <col min="22" max="22" width="9.5546875" style="50" customWidth="1"/>
    <col min="23" max="24" width="10.88671875" style="50" customWidth="1"/>
    <col min="25" max="25" width="13.109375" style="50" customWidth="1"/>
    <col min="26" max="26" width="11.88671875" style="1" customWidth="1"/>
    <col min="27" max="27" width="10.33203125" style="50" customWidth="1"/>
    <col min="28" max="28" width="5.5546875" style="51" customWidth="1"/>
    <col min="29" max="29" width="13.33203125" style="11" customWidth="1"/>
    <col min="30" max="30" width="10.109375" style="52" customWidth="1"/>
    <col min="31" max="31" width="11" style="1" customWidth="1"/>
    <col min="32" max="32" width="12.109375" style="50" customWidth="1"/>
    <col min="33" max="33" width="15.88671875" style="45" hidden="1" customWidth="1"/>
    <col min="34" max="34" width="15.5546875" style="6" customWidth="1"/>
    <col min="35" max="16384" width="9" style="6"/>
  </cols>
  <sheetData>
    <row r="1" spans="1:34" s="74" customFormat="1" ht="21" customHeight="1" x14ac:dyDescent="0.3">
      <c r="A1" s="73" t="s">
        <v>0</v>
      </c>
      <c r="B1" s="73"/>
      <c r="D1" s="75"/>
      <c r="E1" s="76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AB1" s="78"/>
      <c r="AC1" s="79"/>
    </row>
    <row r="2" spans="1:34" s="81" customFormat="1" ht="21" customHeight="1" thickBot="1" x14ac:dyDescent="0.35">
      <c r="A2" s="80" t="s">
        <v>1</v>
      </c>
      <c r="B2" s="80"/>
      <c r="D2" s="82"/>
      <c r="E2" s="83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Z2" s="74"/>
      <c r="AB2" s="85"/>
      <c r="AC2" s="86"/>
      <c r="AE2" s="74"/>
      <c r="AG2" s="74"/>
    </row>
    <row r="3" spans="1:34" ht="24" customHeight="1" thickBot="1" x14ac:dyDescent="0.35">
      <c r="C3" s="5"/>
      <c r="D3" s="146" t="s">
        <v>2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8"/>
      <c r="AB3" s="90"/>
      <c r="AC3" s="90"/>
      <c r="AD3" s="90"/>
      <c r="AE3" s="5"/>
      <c r="AF3" s="5"/>
      <c r="AG3" s="5"/>
    </row>
    <row r="4" spans="1:34" ht="24" customHeight="1" x14ac:dyDescent="0.3">
      <c r="A4" s="7"/>
      <c r="B4" s="7"/>
      <c r="C4" s="7"/>
      <c r="D4" s="166" t="s">
        <v>93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7"/>
      <c r="AB4" s="66"/>
      <c r="AC4" s="8"/>
      <c r="AD4" s="7"/>
      <c r="AE4" s="149" t="s">
        <v>3</v>
      </c>
      <c r="AF4" s="149"/>
      <c r="AG4" s="149"/>
      <c r="AH4" s="149"/>
    </row>
    <row r="5" spans="1:34" ht="2.25" customHeight="1" x14ac:dyDescent="0.3">
      <c r="A5" s="8"/>
      <c r="B5" s="8"/>
      <c r="C5" s="8"/>
      <c r="D5" s="8"/>
      <c r="E5" s="9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  <c r="AD5" s="12"/>
      <c r="AE5" s="150"/>
      <c r="AF5" s="150"/>
      <c r="AG5" s="150"/>
      <c r="AH5" s="150"/>
    </row>
    <row r="6" spans="1:34" ht="24" customHeight="1" x14ac:dyDescent="0.3">
      <c r="A6" s="151" t="s">
        <v>4</v>
      </c>
      <c r="B6" s="151"/>
      <c r="C6" s="154" t="s">
        <v>5</v>
      </c>
      <c r="D6" s="157" t="s">
        <v>6</v>
      </c>
      <c r="E6" s="160" t="s">
        <v>63</v>
      </c>
      <c r="F6" s="161" t="s">
        <v>7</v>
      </c>
      <c r="G6" s="164" t="s">
        <v>46</v>
      </c>
      <c r="H6" s="165"/>
      <c r="I6" s="165"/>
      <c r="J6" s="165"/>
      <c r="K6" s="210" t="s">
        <v>91</v>
      </c>
      <c r="L6" s="211"/>
      <c r="M6" s="211"/>
      <c r="N6" s="212"/>
      <c r="O6" s="214" t="s">
        <v>92</v>
      </c>
      <c r="P6" s="215"/>
      <c r="Q6" s="215"/>
      <c r="R6" s="215"/>
      <c r="S6" s="216"/>
      <c r="T6" s="169" t="s">
        <v>60</v>
      </c>
      <c r="U6" s="143" t="s">
        <v>8</v>
      </c>
      <c r="V6" s="222" t="s">
        <v>57</v>
      </c>
      <c r="W6" s="223"/>
      <c r="X6" s="224"/>
      <c r="Y6" s="143" t="s">
        <v>58</v>
      </c>
      <c r="Z6" s="184" t="s">
        <v>9</v>
      </c>
      <c r="AA6" s="187" t="s">
        <v>10</v>
      </c>
      <c r="AB6" s="187"/>
      <c r="AC6" s="187"/>
      <c r="AD6" s="187"/>
      <c r="AE6" s="187"/>
      <c r="AF6" s="180" t="s">
        <v>11</v>
      </c>
      <c r="AG6" s="190" t="s">
        <v>12</v>
      </c>
      <c r="AH6" s="174" t="s">
        <v>73</v>
      </c>
    </row>
    <row r="7" spans="1:34" ht="35.25" customHeight="1" x14ac:dyDescent="0.3">
      <c r="A7" s="152"/>
      <c r="B7" s="152"/>
      <c r="C7" s="155"/>
      <c r="D7" s="158"/>
      <c r="E7" s="158"/>
      <c r="F7" s="162"/>
      <c r="G7" s="165"/>
      <c r="H7" s="165"/>
      <c r="I7" s="165"/>
      <c r="J7" s="165"/>
      <c r="K7" s="168" t="s">
        <v>51</v>
      </c>
      <c r="L7" s="213" t="s">
        <v>88</v>
      </c>
      <c r="M7" s="213" t="s">
        <v>89</v>
      </c>
      <c r="N7" s="213" t="s">
        <v>90</v>
      </c>
      <c r="O7" s="217"/>
      <c r="P7" s="218"/>
      <c r="Q7" s="218"/>
      <c r="R7" s="218"/>
      <c r="S7" s="219"/>
      <c r="T7" s="170"/>
      <c r="U7" s="172"/>
      <c r="V7" s="225"/>
      <c r="W7" s="226"/>
      <c r="X7" s="227"/>
      <c r="Y7" s="144"/>
      <c r="Z7" s="185"/>
      <c r="AA7" s="176" t="s">
        <v>13</v>
      </c>
      <c r="AB7" s="178" t="s">
        <v>14</v>
      </c>
      <c r="AC7" s="179"/>
      <c r="AD7" s="180" t="s">
        <v>15</v>
      </c>
      <c r="AE7" s="176" t="s">
        <v>16</v>
      </c>
      <c r="AF7" s="188"/>
      <c r="AG7" s="191"/>
      <c r="AH7" s="175"/>
    </row>
    <row r="8" spans="1:34" ht="43.5" customHeight="1" x14ac:dyDescent="0.3">
      <c r="A8" s="153"/>
      <c r="B8" s="153"/>
      <c r="C8" s="156"/>
      <c r="D8" s="159"/>
      <c r="E8" s="159"/>
      <c r="F8" s="163"/>
      <c r="G8" s="65" t="s">
        <v>47</v>
      </c>
      <c r="H8" s="65" t="s">
        <v>48</v>
      </c>
      <c r="I8" s="13" t="s">
        <v>49</v>
      </c>
      <c r="J8" s="13" t="s">
        <v>50</v>
      </c>
      <c r="K8" s="209"/>
      <c r="L8" s="209"/>
      <c r="M8" s="209"/>
      <c r="N8" s="209"/>
      <c r="O8" s="65" t="s">
        <v>47</v>
      </c>
      <c r="P8" s="65" t="s">
        <v>48</v>
      </c>
      <c r="Q8" s="13" t="s">
        <v>49</v>
      </c>
      <c r="R8" s="65" t="s">
        <v>50</v>
      </c>
      <c r="S8" s="65" t="s">
        <v>95</v>
      </c>
      <c r="T8" s="171"/>
      <c r="U8" s="173"/>
      <c r="V8" s="14" t="s">
        <v>49</v>
      </c>
      <c r="W8" s="70" t="s">
        <v>50</v>
      </c>
      <c r="X8" s="70" t="s">
        <v>95</v>
      </c>
      <c r="Y8" s="145"/>
      <c r="Z8" s="186"/>
      <c r="AA8" s="177"/>
      <c r="AB8" s="15" t="s">
        <v>17</v>
      </c>
      <c r="AC8" s="16" t="s">
        <v>18</v>
      </c>
      <c r="AD8" s="177"/>
      <c r="AE8" s="177"/>
      <c r="AF8" s="189"/>
      <c r="AG8" s="191"/>
      <c r="AH8" s="175"/>
    </row>
    <row r="9" spans="1:34" s="17" customFormat="1" ht="24" customHeight="1" x14ac:dyDescent="0.3">
      <c r="A9" s="115" t="s">
        <v>19</v>
      </c>
      <c r="B9" s="116" t="s">
        <v>20</v>
      </c>
      <c r="C9" s="117"/>
      <c r="D9" s="117"/>
      <c r="E9" s="118"/>
      <c r="F9" s="119"/>
      <c r="G9" s="120"/>
      <c r="H9" s="120"/>
      <c r="I9" s="120"/>
      <c r="J9" s="120"/>
      <c r="K9" s="120"/>
      <c r="L9" s="120"/>
      <c r="M9" s="120"/>
      <c r="N9" s="120"/>
      <c r="O9" s="121"/>
      <c r="P9" s="121"/>
      <c r="Q9" s="121"/>
      <c r="R9" s="121"/>
      <c r="S9" s="121"/>
      <c r="T9" s="121"/>
      <c r="U9" s="122"/>
      <c r="V9" s="121"/>
      <c r="W9" s="121"/>
      <c r="X9" s="121"/>
      <c r="Y9" s="121"/>
      <c r="Z9" s="121"/>
      <c r="AA9" s="121"/>
      <c r="AB9" s="121"/>
      <c r="AC9" s="121"/>
      <c r="AD9" s="121"/>
      <c r="AE9" s="122"/>
      <c r="AF9" s="123"/>
      <c r="AG9" s="121"/>
      <c r="AH9" s="121"/>
    </row>
    <row r="10" spans="1:34" ht="18" customHeight="1" x14ac:dyDescent="0.3">
      <c r="A10" s="91" t="s">
        <v>21</v>
      </c>
      <c r="B10" s="92" t="s">
        <v>22</v>
      </c>
      <c r="C10" s="92"/>
      <c r="D10" s="93"/>
      <c r="E10" s="94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7"/>
      <c r="V10" s="97"/>
      <c r="W10" s="97"/>
      <c r="X10" s="97"/>
      <c r="Y10" s="97"/>
      <c r="Z10" s="97"/>
      <c r="AA10" s="97"/>
      <c r="AB10" s="96"/>
      <c r="AC10" s="97"/>
      <c r="AD10" s="97"/>
      <c r="AE10" s="97"/>
      <c r="AF10" s="97"/>
      <c r="AG10" s="97"/>
      <c r="AH10" s="97"/>
    </row>
    <row r="11" spans="1:34" ht="18" customHeight="1" x14ac:dyDescent="0.25">
      <c r="A11" s="18">
        <v>1</v>
      </c>
      <c r="B11" s="18"/>
      <c r="C11" s="19" t="s">
        <v>64</v>
      </c>
      <c r="D11" s="20" t="s">
        <v>23</v>
      </c>
      <c r="E11" s="21"/>
      <c r="F11" s="21">
        <v>83960000</v>
      </c>
      <c r="G11" s="26">
        <v>30000000</v>
      </c>
      <c r="H11" s="26">
        <v>3000000</v>
      </c>
      <c r="I11" s="26">
        <v>1200000</v>
      </c>
      <c r="J11" s="26">
        <v>800000</v>
      </c>
      <c r="K11" s="87">
        <v>20</v>
      </c>
      <c r="L11" s="87">
        <v>8</v>
      </c>
      <c r="M11" s="87">
        <v>3</v>
      </c>
      <c r="N11" s="87"/>
      <c r="O11" s="26">
        <f>$G11*$K11/26</f>
        <v>23076923.076923076</v>
      </c>
      <c r="P11" s="26">
        <f>$H11*$K11/26</f>
        <v>2307692.3076923075</v>
      </c>
      <c r="Q11" s="26">
        <f>$I11*$K11/26</f>
        <v>923076.92307692312</v>
      </c>
      <c r="R11" s="26">
        <f>$J11*$K11/26</f>
        <v>615384.61538461538</v>
      </c>
      <c r="S11" s="26">
        <f>G11/25/8*(L11*1.5+M11*2+N11*2)</f>
        <v>2700000</v>
      </c>
      <c r="T11" s="26">
        <v>10000000</v>
      </c>
      <c r="U11" s="22">
        <f>SUM(O11:T11)</f>
        <v>39623076.923076928</v>
      </c>
      <c r="V11" s="22">
        <f>IF(Q11&gt;730000,730000,Q11)</f>
        <v>730000</v>
      </c>
      <c r="W11" s="22">
        <f>R11</f>
        <v>615384.61538461538</v>
      </c>
      <c r="X11" s="22">
        <f>S11</f>
        <v>2700000</v>
      </c>
      <c r="Y11" s="22">
        <f>V11+W11+X11</f>
        <v>4045384.6153846155</v>
      </c>
      <c r="Z11" s="23">
        <f>U11-Y11</f>
        <v>35577692.307692312</v>
      </c>
      <c r="AA11" s="24">
        <f>'Tham Chieu'!$I$4</f>
        <v>15500000</v>
      </c>
      <c r="AB11" s="25">
        <v>0</v>
      </c>
      <c r="AC11" s="26">
        <f>AB11*'Tham Chieu'!$J$4</f>
        <v>0</v>
      </c>
      <c r="AD11" s="71">
        <f>(G11+H11)*10.5%</f>
        <v>3465000</v>
      </c>
      <c r="AE11" s="27">
        <f>AA11+AC11+AD11</f>
        <v>18965000</v>
      </c>
      <c r="AF11" s="23">
        <f>Z11-AE11</f>
        <v>16612692.307692312</v>
      </c>
      <c r="AG11" s="28">
        <f>IF(AND(AF11&lt;=5000000,AF11&gt;0), AF11*5%, IF(AND(AF11&gt;5000000, AF11&lt;=10000000), 250000+(AF11-5000000)*10%, IF(AND(AF11&gt;10000000, AF11&lt;=18000000), 750000+(AF11-10000000)*15%,  IF(AND(AF11&gt;18000000, AF11&lt;=32000000), 1950000+(AF11-18000000)*20%,  IF(AND(AF11&gt;32000000, AF11&lt;=52000000), 4750000+(AF11-32000000)*25%,  IF(AND(AF11&gt;52000000, AF11&lt;=80000000), 9750000+(AF11-52000000)*30%, IF(AF11&gt;80000000, 18150000+(AF11-80000000)*35%, 0)))))))</f>
        <v>1741903.8461538467</v>
      </c>
      <c r="AH11" s="89">
        <f>IF(AND(AF11&lt;='Tham Chieu'!$C$4,AF11&gt;0),AF11*'Tham Chieu'!$D$4,IF(AND(AF11&gt;'Tham Chieu'!$C$4,AF11&lt;='Tham Chieu'!$C$5),'Tham Chieu'!$E$5+(AF11-'Tham Chieu'!$C$4)*'Tham Chieu'!$D$5,IF(AND(AF11&gt;'Tham Chieu'!$C$5,AF11&lt;='Tham Chieu'!$C$6),'Tham Chieu'!$E$6+(AF11-'Tham Chieu'!$C$5)*'Tham Chieu'!$D$6,IF(AND(AF11&gt;'Tham Chieu'!$C$6,AF11&lt;='Tham Chieu'!$C$7),'Tham Chieu'!$E$7+(AF11-'Tham Chieu'!$C$6)*'Tham Chieu'!$D$7,IF(AND(AF11&gt;'Tham Chieu'!$C$7,AF11&lt;='Tham Chieu'!$C$8),'Tham Chieu'!$E$8+(AF11-'Tham Chieu'!$C$7)*'Tham Chieu'!$D$8,0)))))</f>
        <v>1161269.2307692312</v>
      </c>
    </row>
    <row r="12" spans="1:34" ht="18" customHeight="1" x14ac:dyDescent="0.25">
      <c r="A12" s="18">
        <v>2</v>
      </c>
      <c r="B12" s="18"/>
      <c r="C12" s="19" t="s">
        <v>65</v>
      </c>
      <c r="D12" s="20" t="s">
        <v>24</v>
      </c>
      <c r="E12" s="21" t="s">
        <v>52</v>
      </c>
      <c r="F12" s="21">
        <v>83961000</v>
      </c>
      <c r="G12" s="26">
        <v>16000000</v>
      </c>
      <c r="H12" s="26">
        <v>1000000</v>
      </c>
      <c r="I12" s="26">
        <v>1000000</v>
      </c>
      <c r="J12" s="26">
        <v>600000</v>
      </c>
      <c r="K12" s="87">
        <v>21</v>
      </c>
      <c r="L12" s="87"/>
      <c r="M12" s="87"/>
      <c r="N12" s="87">
        <v>8</v>
      </c>
      <c r="O12" s="26">
        <f t="shared" ref="O12:O17" si="0">$G12*$K12/26</f>
        <v>12923076.923076924</v>
      </c>
      <c r="P12" s="26">
        <f>$H12*$K12/26</f>
        <v>807692.30769230775</v>
      </c>
      <c r="Q12" s="26">
        <f t="shared" ref="Q12:Q17" si="1">$I12*$K12/26</f>
        <v>807692.30769230775</v>
      </c>
      <c r="R12" s="26">
        <f t="shared" ref="R12:R17" si="2">$J12*$K12/26</f>
        <v>484615.38461538462</v>
      </c>
      <c r="S12" s="26">
        <f t="shared" ref="S12:S14" si="3">G12/25/8*(L12*1.5+M12*2+N12*2)</f>
        <v>1280000</v>
      </c>
      <c r="T12" s="26">
        <v>8000000</v>
      </c>
      <c r="U12" s="22">
        <f>SUM(O12:T12)</f>
        <v>24303076.923076924</v>
      </c>
      <c r="V12" s="22">
        <f>IF(Q12&gt;730000,730000,Q12)</f>
        <v>730000</v>
      </c>
      <c r="W12" s="22">
        <f>R12</f>
        <v>484615.38461538462</v>
      </c>
      <c r="X12" s="22">
        <f t="shared" ref="X12:X14" si="4">S12</f>
        <v>1280000</v>
      </c>
      <c r="Y12" s="22">
        <f t="shared" ref="Y12:Y14" si="5">V12+W12+X12</f>
        <v>2494615.3846153845</v>
      </c>
      <c r="Z12" s="23">
        <f t="shared" ref="Z12:Z21" si="6">U12-Y12</f>
        <v>21808461.53846154</v>
      </c>
      <c r="AA12" s="24">
        <f>'Tham Chieu'!$I$4</f>
        <v>15500000</v>
      </c>
      <c r="AB12" s="29">
        <v>2</v>
      </c>
      <c r="AC12" s="26">
        <f>AB12*'Tham Chieu'!$J$4</f>
        <v>12400000</v>
      </c>
      <c r="AD12" s="71">
        <f>(G12+H12)*10.5%</f>
        <v>1785000</v>
      </c>
      <c r="AE12" s="27">
        <f>AA12+AC12+AD12</f>
        <v>29685000</v>
      </c>
      <c r="AF12" s="23">
        <f>Z12-AE12</f>
        <v>-7876538.4615384601</v>
      </c>
      <c r="AG12" s="28">
        <f>IF(AND(AF12&lt;=5000000,AF12&gt;0), AF12*5%, IF(AND(AF12&gt;5000000, AF12&lt;=10000000), 250000+(AF12-5000000)*10%, IF(AND(AF12&gt;10000000, AF12&lt;=18000000), 750000+(AF12-10000000)*15%,  IF(AND(AF12&gt;18000000, AF12&lt;=32000000), 1950000+(AF12-18000000)*20%,  IF(AND(AF12&gt;32000000, AF12&lt;=52000000), 4750000+(AF12-32000000)*25%,  IF(AND(AF12&gt;52000000, AF12&lt;=80000000), 9750000+(AF12-52000000)*30%, IF(AF12&gt;80000000, 18150000+(AF12-80000000)*35%, 0)))))))</f>
        <v>0</v>
      </c>
      <c r="AH12" s="89">
        <f>IF(AND(AF12&lt;='Tham Chieu'!$C$4,AF12&gt;0),AF12*'Tham Chieu'!$D$4,IF(AND(AF12&gt;'Tham Chieu'!$C$4,AF12&lt;='Tham Chieu'!$C$5),'Tham Chieu'!$E$5+(AF12-'Tham Chieu'!$C$4)*'Tham Chieu'!$D$5,IF(AND(AF12&gt;'Tham Chieu'!$C$5,AF12&lt;='Tham Chieu'!$C$6),'Tham Chieu'!$E$6+(AF12-'Tham Chieu'!$C$5)*'Tham Chieu'!$D$6,IF(AND(AF12&gt;'Tham Chieu'!$C$6,AF12&lt;='Tham Chieu'!$C$7),'Tham Chieu'!$E$7+(AF12-'Tham Chieu'!$C$6)*'Tham Chieu'!$D$7,IF(AND(AF12&gt;'Tham Chieu'!$C$7,AF12&lt;='Tham Chieu'!$C$8),'Tham Chieu'!$E$8+(AF12-'Tham Chieu'!$C$7)*'Tham Chieu'!$D$8,0)))))</f>
        <v>0</v>
      </c>
    </row>
    <row r="13" spans="1:34" ht="18" customHeight="1" x14ac:dyDescent="0.25">
      <c r="A13" s="18">
        <v>3</v>
      </c>
      <c r="B13" s="18"/>
      <c r="C13" s="19" t="s">
        <v>66</v>
      </c>
      <c r="D13" s="30" t="s">
        <v>25</v>
      </c>
      <c r="E13" s="21" t="s">
        <v>53</v>
      </c>
      <c r="F13" s="21">
        <v>83961200</v>
      </c>
      <c r="G13" s="26">
        <v>13000000</v>
      </c>
      <c r="H13" s="26">
        <v>0</v>
      </c>
      <c r="I13" s="26">
        <v>730000</v>
      </c>
      <c r="J13" s="26">
        <v>500000</v>
      </c>
      <c r="K13" s="87">
        <v>21</v>
      </c>
      <c r="L13" s="87"/>
      <c r="M13" s="87"/>
      <c r="N13" s="87"/>
      <c r="O13" s="26">
        <f t="shared" si="0"/>
        <v>10500000</v>
      </c>
      <c r="P13" s="26">
        <f>$H13*$K13/26</f>
        <v>0</v>
      </c>
      <c r="Q13" s="26">
        <f t="shared" si="1"/>
        <v>589615.38461538462</v>
      </c>
      <c r="R13" s="26">
        <f t="shared" si="2"/>
        <v>403846.15384615387</v>
      </c>
      <c r="S13" s="26">
        <f t="shared" si="3"/>
        <v>0</v>
      </c>
      <c r="T13" s="26">
        <v>7000000</v>
      </c>
      <c r="U13" s="22">
        <f>SUM(O13:T13)</f>
        <v>18493461.538461536</v>
      </c>
      <c r="V13" s="22">
        <f>IF(Q13&gt;730000,730000,Q13)</f>
        <v>589615.38461538462</v>
      </c>
      <c r="W13" s="22">
        <f>R13</f>
        <v>403846.15384615387</v>
      </c>
      <c r="X13" s="22">
        <f t="shared" si="4"/>
        <v>0</v>
      </c>
      <c r="Y13" s="22">
        <f t="shared" si="5"/>
        <v>993461.5384615385</v>
      </c>
      <c r="Z13" s="23">
        <f t="shared" si="6"/>
        <v>17499999.999999996</v>
      </c>
      <c r="AA13" s="24">
        <f>'Tham Chieu'!$I$4</f>
        <v>15500000</v>
      </c>
      <c r="AB13" s="31">
        <v>1</v>
      </c>
      <c r="AC13" s="26">
        <f>AB13*'Tham Chieu'!$J$4</f>
        <v>6200000</v>
      </c>
      <c r="AD13" s="71">
        <f>(G13+H13)*10.5%</f>
        <v>1365000</v>
      </c>
      <c r="AE13" s="27">
        <f>AA13+AC13+AD13</f>
        <v>23065000</v>
      </c>
      <c r="AF13" s="23">
        <f>Z13-AE13</f>
        <v>-5565000.0000000037</v>
      </c>
      <c r="AG13" s="28">
        <f>IF(AND(AF13&lt;=5000000,AF13&gt;0), AF13*5%, IF(AND(AF13&gt;5000000, AF13&lt;=10000000), 250000+(AF13-5000000)*10%, IF(AND(AF13&gt;10000000, AF13&lt;=18000000), 750000+(AF13-10000000)*15%,  IF(AND(AF13&gt;18000000, AF13&lt;=32000000), 1950000+(AF13-18000000)*20%,  IF(AND(AF13&gt;32000000, AF13&lt;=52000000), 4750000+(AF13-32000000)*25%,  IF(AND(AF13&gt;52000000, AF13&lt;=80000000), 9750000+(AF13-52000000)*30%, IF(AF13&gt;80000000, 18150000+(AF13-80000000)*35%, 0)))))))</f>
        <v>0</v>
      </c>
      <c r="AH13" s="89">
        <f>IF(AND(AF13&lt;='Tham Chieu'!$C$4,AF13&gt;0),AF13*'Tham Chieu'!$D$4,IF(AND(AF13&gt;'Tham Chieu'!$C$4,AF13&lt;='Tham Chieu'!$C$5),'Tham Chieu'!$E$5+(AF13-'Tham Chieu'!$C$4)*'Tham Chieu'!$D$5,IF(AND(AF13&gt;'Tham Chieu'!$C$5,AF13&lt;='Tham Chieu'!$C$6),'Tham Chieu'!$E$6+(AF13-'Tham Chieu'!$C$5)*'Tham Chieu'!$D$6,IF(AND(AF13&gt;'Tham Chieu'!$C$6,AF13&lt;='Tham Chieu'!$C$7),'Tham Chieu'!$E$7+(AF13-'Tham Chieu'!$C$6)*'Tham Chieu'!$D$7,IF(AND(AF13&gt;'Tham Chieu'!$C$7,AF13&lt;='Tham Chieu'!$C$8),'Tham Chieu'!$E$8+(AF13-'Tham Chieu'!$C$7)*'Tham Chieu'!$D$8,0)))))</f>
        <v>0</v>
      </c>
    </row>
    <row r="14" spans="1:34" ht="18" customHeight="1" x14ac:dyDescent="0.25">
      <c r="A14" s="18">
        <v>4</v>
      </c>
      <c r="B14" s="18"/>
      <c r="C14" s="19" t="s">
        <v>67</v>
      </c>
      <c r="D14" s="32" t="s">
        <v>26</v>
      </c>
      <c r="E14" s="21" t="s">
        <v>61</v>
      </c>
      <c r="F14" s="21">
        <v>83961203</v>
      </c>
      <c r="G14" s="26">
        <v>9000000</v>
      </c>
      <c r="H14" s="26">
        <v>0</v>
      </c>
      <c r="I14" s="26">
        <v>650000</v>
      </c>
      <c r="J14" s="26">
        <v>300000</v>
      </c>
      <c r="K14" s="87">
        <v>20</v>
      </c>
      <c r="L14" s="87"/>
      <c r="M14" s="87"/>
      <c r="N14" s="87"/>
      <c r="O14" s="26">
        <f t="shared" si="0"/>
        <v>6923076.923076923</v>
      </c>
      <c r="P14" s="26">
        <f>$H14*$K14/26</f>
        <v>0</v>
      </c>
      <c r="Q14" s="26">
        <f t="shared" si="1"/>
        <v>500000</v>
      </c>
      <c r="R14" s="26">
        <f t="shared" si="2"/>
        <v>230769.23076923078</v>
      </c>
      <c r="S14" s="26">
        <f t="shared" si="3"/>
        <v>0</v>
      </c>
      <c r="T14" s="26">
        <v>5000000</v>
      </c>
      <c r="U14" s="22">
        <f>SUM(O14:T14)</f>
        <v>12653846.153846154</v>
      </c>
      <c r="V14" s="22">
        <f>IF(Q14&gt;730000,730000,Q14)</f>
        <v>500000</v>
      </c>
      <c r="W14" s="22">
        <f>R14</f>
        <v>230769.23076923078</v>
      </c>
      <c r="X14" s="22">
        <f t="shared" si="4"/>
        <v>0</v>
      </c>
      <c r="Y14" s="22">
        <f t="shared" si="5"/>
        <v>730769.23076923075</v>
      </c>
      <c r="Z14" s="23">
        <f t="shared" si="6"/>
        <v>11923076.923076924</v>
      </c>
      <c r="AA14" s="192"/>
      <c r="AB14" s="193"/>
      <c r="AC14" s="194"/>
      <c r="AD14" s="22"/>
      <c r="AE14" s="33">
        <f>AA14+AC14+AD14</f>
        <v>0</v>
      </c>
      <c r="AF14" s="23">
        <f>Z14-AE14</f>
        <v>11923076.923076924</v>
      </c>
      <c r="AG14" s="28">
        <f>IF(AND(AF14&lt;=5000000,AF14&gt;0), AF14*5%, IF(AND(AF14&gt;5000000, AF14&lt;=10000000), 250000+(AF14-5000000)*10%, IF(AND(AF14&gt;10000000, AF14&lt;=18000000), 750000+(AF14-10000000)*15%,  IF(AND(AF14&gt;18000000, AF14&lt;=32000000), 1950000+(AF14-18000000)*20%,  IF(AND(AF14&gt;32000000, AF14&lt;=52000000), 4750000+(AF14-32000000)*25%,  IF(AND(AF14&gt;52000000, AF14&lt;=80000000), 9750000+(AF14-52000000)*30%, IF(AF14&gt;80000000, 18150000+(AF14-80000000)*35%, 0)))))))</f>
        <v>1038461.5384615385</v>
      </c>
      <c r="AH14" s="89">
        <f>IF(AND(AF14&lt;='Tham Chieu'!$C$4,AF14&gt;0),AF14*'Tham Chieu'!$D$4,IF(AND(AF14&gt;'Tham Chieu'!$C$4,AF14&lt;='Tham Chieu'!$C$5),'Tham Chieu'!$E$5+(AF14-'Tham Chieu'!$C$4)*'Tham Chieu'!$D$5,IF(AND(AF14&gt;'Tham Chieu'!$C$5,AF14&lt;='Tham Chieu'!$C$6),'Tham Chieu'!$E$6+(AF14-'Tham Chieu'!$C$5)*'Tham Chieu'!$D$6,IF(AND(AF14&gt;'Tham Chieu'!$C$6,AF14&lt;='Tham Chieu'!$C$7),'Tham Chieu'!$E$7+(AF14-'Tham Chieu'!$C$6)*'Tham Chieu'!$D$7,IF(AND(AF14&gt;'Tham Chieu'!$C$7,AF14&lt;='Tham Chieu'!$C$8),'Tham Chieu'!$E$8+(AF14-'Tham Chieu'!$C$7)*'Tham Chieu'!$D$8,0)))))</f>
        <v>692307.69230769237</v>
      </c>
    </row>
    <row r="15" spans="1:34" s="34" customFormat="1" ht="23.25" customHeight="1" x14ac:dyDescent="0.2">
      <c r="A15" s="98" t="s">
        <v>27</v>
      </c>
      <c r="B15" s="99" t="s">
        <v>28</v>
      </c>
      <c r="C15" s="99"/>
      <c r="D15" s="100"/>
      <c r="E15" s="101"/>
      <c r="F15" s="101"/>
      <c r="G15" s="102"/>
      <c r="H15" s="102"/>
      <c r="I15" s="102"/>
      <c r="J15" s="102"/>
      <c r="K15" s="103"/>
      <c r="L15" s="103"/>
      <c r="M15" s="103"/>
      <c r="N15" s="103"/>
      <c r="O15" s="104"/>
      <c r="P15" s="104"/>
      <c r="Q15" s="104"/>
      <c r="R15" s="104"/>
      <c r="S15" s="104"/>
      <c r="T15" s="104"/>
      <c r="U15" s="102"/>
      <c r="V15" s="102"/>
      <c r="W15" s="102"/>
      <c r="X15" s="102"/>
      <c r="Y15" s="105"/>
      <c r="Z15" s="105"/>
      <c r="AA15" s="195" t="s">
        <v>29</v>
      </c>
      <c r="AB15" s="195"/>
      <c r="AC15" s="196"/>
      <c r="AD15" s="106" t="s">
        <v>30</v>
      </c>
      <c r="AE15" s="107" t="s">
        <v>62</v>
      </c>
      <c r="AF15" s="108"/>
      <c r="AG15" s="108"/>
      <c r="AH15" s="108"/>
    </row>
    <row r="16" spans="1:34" s="34" customFormat="1" ht="18" customHeight="1" x14ac:dyDescent="0.25">
      <c r="A16" s="18">
        <v>5</v>
      </c>
      <c r="B16" s="18"/>
      <c r="C16" s="19" t="s">
        <v>68</v>
      </c>
      <c r="D16" s="20" t="s">
        <v>31</v>
      </c>
      <c r="E16" s="21" t="s">
        <v>54</v>
      </c>
      <c r="F16" s="21">
        <v>83961204</v>
      </c>
      <c r="G16" s="26">
        <f>85%*6000000</f>
        <v>5100000</v>
      </c>
      <c r="H16" s="26">
        <v>0</v>
      </c>
      <c r="I16" s="26">
        <v>600000</v>
      </c>
      <c r="J16" s="26">
        <v>200000</v>
      </c>
      <c r="K16" s="87">
        <v>21</v>
      </c>
      <c r="L16" s="87"/>
      <c r="M16" s="87"/>
      <c r="N16" s="87"/>
      <c r="O16" s="26">
        <f t="shared" si="0"/>
        <v>4119230.769230769</v>
      </c>
      <c r="P16" s="26">
        <f>$H16*$K16/26</f>
        <v>0</v>
      </c>
      <c r="Q16" s="26">
        <f t="shared" si="1"/>
        <v>484615.38461538462</v>
      </c>
      <c r="R16" s="26">
        <f t="shared" si="2"/>
        <v>161538.46153846153</v>
      </c>
      <c r="S16" s="26"/>
      <c r="T16" s="26"/>
      <c r="U16" s="22">
        <f>O16+P16+Q16+R16</f>
        <v>4765384.615384616</v>
      </c>
      <c r="V16" s="22">
        <f>IF(Q16&gt;730000,730000,Q16)</f>
        <v>484615.38461538462</v>
      </c>
      <c r="W16" s="22">
        <f>R16</f>
        <v>161538.46153846153</v>
      </c>
      <c r="X16" s="220"/>
      <c r="Y16" s="197"/>
      <c r="Z16" s="23">
        <f t="shared" si="6"/>
        <v>4765384.615384616</v>
      </c>
      <c r="AA16" s="198"/>
      <c r="AB16" s="199"/>
      <c r="AC16" s="200"/>
      <c r="AD16" s="61" t="s">
        <v>32</v>
      </c>
      <c r="AE16" s="62" t="s">
        <v>33</v>
      </c>
      <c r="AF16" s="35"/>
      <c r="AG16" s="36">
        <f>AF16*10%</f>
        <v>0</v>
      </c>
      <c r="AH16" s="36">
        <v>0</v>
      </c>
    </row>
    <row r="17" spans="1:34" s="34" customFormat="1" ht="18" customHeight="1" x14ac:dyDescent="0.25">
      <c r="A17" s="18">
        <v>6</v>
      </c>
      <c r="B17" s="18"/>
      <c r="C17" s="19" t="s">
        <v>69</v>
      </c>
      <c r="D17" s="30" t="s">
        <v>26</v>
      </c>
      <c r="E17" s="21" t="s">
        <v>54</v>
      </c>
      <c r="F17" s="21">
        <v>83961205</v>
      </c>
      <c r="G17" s="26">
        <f>85%*5000000</f>
        <v>4250000</v>
      </c>
      <c r="H17" s="26">
        <v>0</v>
      </c>
      <c r="I17" s="26">
        <v>500000</v>
      </c>
      <c r="J17" s="26">
        <v>0</v>
      </c>
      <c r="K17" s="87">
        <v>10</v>
      </c>
      <c r="L17" s="87"/>
      <c r="M17" s="87"/>
      <c r="N17" s="87"/>
      <c r="O17" s="26">
        <f t="shared" si="0"/>
        <v>1634615.3846153845</v>
      </c>
      <c r="P17" s="26">
        <f>$H17*$K17/26</f>
        <v>0</v>
      </c>
      <c r="Q17" s="26">
        <f t="shared" si="1"/>
        <v>192307.69230769231</v>
      </c>
      <c r="R17" s="26">
        <f t="shared" si="2"/>
        <v>0</v>
      </c>
      <c r="S17" s="26"/>
      <c r="T17" s="26"/>
      <c r="U17" s="22">
        <f>O17+P17+Q17+R17</f>
        <v>1826923.0769230768</v>
      </c>
      <c r="V17" s="22">
        <f>IF(Q17&gt;730000,730000,Q17)</f>
        <v>192307.69230769231</v>
      </c>
      <c r="W17" s="26">
        <f>R17</f>
        <v>0</v>
      </c>
      <c r="X17" s="221"/>
      <c r="Y17" s="197"/>
      <c r="Z17" s="23">
        <f t="shared" si="6"/>
        <v>1826923.0769230768</v>
      </c>
      <c r="AA17" s="201"/>
      <c r="AB17" s="202"/>
      <c r="AC17" s="203"/>
      <c r="AD17" s="204" t="s">
        <v>34</v>
      </c>
      <c r="AE17" s="205"/>
      <c r="AF17" s="35"/>
      <c r="AG17" s="36">
        <f>AF17*10%</f>
        <v>0</v>
      </c>
      <c r="AH17" s="36">
        <v>0</v>
      </c>
    </row>
    <row r="18" spans="1:34" ht="18" customHeight="1" x14ac:dyDescent="0.25">
      <c r="A18" s="18">
        <v>7</v>
      </c>
      <c r="B18" s="18"/>
      <c r="C18" s="19" t="s">
        <v>70</v>
      </c>
      <c r="D18" s="20" t="s">
        <v>26</v>
      </c>
      <c r="E18" s="21" t="s">
        <v>55</v>
      </c>
      <c r="F18" s="20" t="s">
        <v>72</v>
      </c>
      <c r="G18" s="26">
        <v>3000000</v>
      </c>
      <c r="H18" s="26">
        <v>0</v>
      </c>
      <c r="I18" s="26">
        <v>0</v>
      </c>
      <c r="J18" s="26">
        <v>0</v>
      </c>
      <c r="K18" s="87"/>
      <c r="L18" s="87"/>
      <c r="M18" s="87"/>
      <c r="N18" s="87"/>
      <c r="O18" s="26">
        <f>G18</f>
        <v>3000000</v>
      </c>
      <c r="P18" s="26">
        <f>$H18*$K18/26</f>
        <v>0</v>
      </c>
      <c r="Q18" s="26">
        <f>$H18*$K18/26</f>
        <v>0</v>
      </c>
      <c r="R18" s="26">
        <f>$H18*$K18/26</f>
        <v>0</v>
      </c>
      <c r="S18" s="26"/>
      <c r="T18" s="26"/>
      <c r="U18" s="22">
        <f>O18+P18+Q18+R18</f>
        <v>3000000</v>
      </c>
      <c r="V18" s="26">
        <f>IF(Q18&gt;730000,730000,Q18)</f>
        <v>0</v>
      </c>
      <c r="W18" s="26">
        <f>R18</f>
        <v>0</v>
      </c>
      <c r="X18" s="221"/>
      <c r="Y18" s="197"/>
      <c r="Z18" s="23">
        <f t="shared" si="6"/>
        <v>3000000</v>
      </c>
      <c r="AA18" s="201"/>
      <c r="AB18" s="202"/>
      <c r="AC18" s="203"/>
      <c r="AD18" s="63" t="s">
        <v>35</v>
      </c>
      <c r="AE18" s="62" t="s">
        <v>36</v>
      </c>
      <c r="AF18" s="35">
        <f>Z18</f>
        <v>3000000</v>
      </c>
      <c r="AG18" s="36">
        <f>AF18*10%</f>
        <v>300000</v>
      </c>
      <c r="AH18" s="36">
        <f>AF18*10%</f>
        <v>300000</v>
      </c>
    </row>
    <row r="19" spans="1:34" ht="45.45" customHeight="1" x14ac:dyDescent="0.25">
      <c r="A19" s="18">
        <v>8</v>
      </c>
      <c r="B19" s="18"/>
      <c r="C19" s="19" t="s">
        <v>71</v>
      </c>
      <c r="D19" s="20" t="s">
        <v>37</v>
      </c>
      <c r="E19" s="21" t="s">
        <v>55</v>
      </c>
      <c r="F19" s="21">
        <v>87831886</v>
      </c>
      <c r="G19" s="26">
        <v>3500000</v>
      </c>
      <c r="H19" s="26">
        <v>0</v>
      </c>
      <c r="I19" s="26">
        <v>0</v>
      </c>
      <c r="J19" s="26">
        <v>0</v>
      </c>
      <c r="K19" s="87"/>
      <c r="L19" s="87"/>
      <c r="M19" s="87"/>
      <c r="N19" s="87"/>
      <c r="O19" s="26">
        <f>G19</f>
        <v>3500000</v>
      </c>
      <c r="P19" s="26">
        <f>$H19*$K19/26</f>
        <v>0</v>
      </c>
      <c r="Q19" s="26">
        <f>$H19*$K19/26</f>
        <v>0</v>
      </c>
      <c r="R19" s="26">
        <f>$H19*$K19/26</f>
        <v>0</v>
      </c>
      <c r="S19" s="26"/>
      <c r="T19" s="26"/>
      <c r="U19" s="22">
        <f>O19+P19+Q19+R19</f>
        <v>3500000</v>
      </c>
      <c r="V19" s="26">
        <f>IF(Q19&gt;730000,730000,Q19)</f>
        <v>0</v>
      </c>
      <c r="W19" s="26">
        <f>R19</f>
        <v>0</v>
      </c>
      <c r="X19" s="221"/>
      <c r="Y19" s="197"/>
      <c r="Z19" s="23">
        <f t="shared" si="6"/>
        <v>3500000</v>
      </c>
      <c r="AA19" s="201"/>
      <c r="AB19" s="202"/>
      <c r="AC19" s="203"/>
      <c r="AD19" s="64" t="s">
        <v>35</v>
      </c>
      <c r="AE19" s="88" t="s">
        <v>59</v>
      </c>
      <c r="AF19" s="35">
        <f>Z19</f>
        <v>3500000</v>
      </c>
      <c r="AG19" s="37">
        <f>AF19*10%</f>
        <v>350000</v>
      </c>
      <c r="AH19" s="36">
        <f>AF19*10%</f>
        <v>350000</v>
      </c>
    </row>
    <row r="20" spans="1:34" s="38" customFormat="1" ht="19.5" customHeight="1" x14ac:dyDescent="0.3">
      <c r="A20" s="109" t="s">
        <v>38</v>
      </c>
      <c r="B20" s="110" t="s">
        <v>39</v>
      </c>
      <c r="C20" s="111"/>
      <c r="D20" s="111"/>
      <c r="E20" s="112"/>
      <c r="F20" s="113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</row>
    <row r="21" spans="1:34" ht="18" customHeight="1" x14ac:dyDescent="0.3">
      <c r="A21" s="18">
        <v>9</v>
      </c>
      <c r="B21" s="18"/>
      <c r="C21" s="39" t="s">
        <v>40</v>
      </c>
      <c r="D21" s="20"/>
      <c r="E21" s="21" t="s">
        <v>56</v>
      </c>
      <c r="F21" s="40"/>
      <c r="G21" s="26">
        <v>10000000</v>
      </c>
      <c r="H21" s="26">
        <v>0</v>
      </c>
      <c r="I21" s="26">
        <v>0</v>
      </c>
      <c r="J21" s="26">
        <v>0</v>
      </c>
      <c r="K21" s="26"/>
      <c r="L21" s="26"/>
      <c r="M21" s="26"/>
      <c r="N21" s="26"/>
      <c r="O21" s="26">
        <f>G21</f>
        <v>10000000</v>
      </c>
      <c r="P21" s="26">
        <v>0</v>
      </c>
      <c r="Q21" s="26">
        <v>0</v>
      </c>
      <c r="R21" s="26">
        <v>0</v>
      </c>
      <c r="S21" s="26"/>
      <c r="T21" s="26"/>
      <c r="U21" s="22">
        <f>O21+P21+Q21+R21</f>
        <v>10000000</v>
      </c>
      <c r="V21" s="22"/>
      <c r="W21" s="22"/>
      <c r="X21" s="22"/>
      <c r="Y21" s="22"/>
      <c r="Z21" s="23">
        <f t="shared" si="6"/>
        <v>10000000</v>
      </c>
      <c r="AA21" s="24"/>
      <c r="AB21" s="41"/>
      <c r="AC21" s="42"/>
      <c r="AD21" s="22"/>
      <c r="AE21" s="33"/>
      <c r="AF21" s="35">
        <f>Z21</f>
        <v>10000000</v>
      </c>
      <c r="AG21" s="43">
        <f>AF21*20%</f>
        <v>2000000</v>
      </c>
      <c r="AH21" s="43">
        <f>AF21*20%</f>
        <v>2000000</v>
      </c>
    </row>
    <row r="22" spans="1:34" ht="18" customHeight="1" x14ac:dyDescent="0.3">
      <c r="A22" s="6"/>
      <c r="B22" s="6"/>
      <c r="C22" s="6"/>
      <c r="D22" s="6"/>
      <c r="E22" s="44"/>
      <c r="F22" s="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4" s="48" customFormat="1" ht="25.5" customHeight="1" x14ac:dyDescent="0.3">
      <c r="A23" s="45"/>
      <c r="B23" s="45"/>
      <c r="C23" s="45"/>
      <c r="D23" s="45"/>
      <c r="E23" s="46"/>
      <c r="F23" s="45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45"/>
      <c r="V23" s="45"/>
      <c r="W23" s="45"/>
      <c r="X23" s="45"/>
      <c r="Y23" s="45"/>
      <c r="Z23" s="45"/>
      <c r="AA23" s="45"/>
      <c r="AB23" s="45"/>
      <c r="AC23" s="45"/>
      <c r="AD23" s="181" t="s">
        <v>41</v>
      </c>
      <c r="AE23" s="182"/>
      <c r="AF23" s="183"/>
      <c r="AG23" s="47"/>
      <c r="AH23" s="72">
        <f>SUM(AH11:AH21)</f>
        <v>4503576.9230769239</v>
      </c>
    </row>
    <row r="25" spans="1:34" s="54" customFormat="1" ht="16.8" x14ac:dyDescent="0.3">
      <c r="A25" s="53"/>
      <c r="B25" s="53"/>
      <c r="D25" s="55"/>
      <c r="E25" s="2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Z25" s="57"/>
      <c r="AB25" s="56"/>
      <c r="AC25" s="206" t="s">
        <v>94</v>
      </c>
      <c r="AD25" s="206"/>
      <c r="AE25" s="206"/>
      <c r="AF25" s="206"/>
      <c r="AG25" s="206"/>
    </row>
    <row r="26" spans="1:34" s="57" customFormat="1" ht="16.8" x14ac:dyDescent="0.3">
      <c r="A26" s="58"/>
      <c r="B26" s="58"/>
      <c r="C26" s="207" t="s">
        <v>42</v>
      </c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68"/>
      <c r="T26" s="68"/>
      <c r="U26" s="207"/>
      <c r="V26" s="207"/>
      <c r="W26" s="207"/>
      <c r="X26" s="207"/>
      <c r="Y26" s="207"/>
      <c r="Z26" s="207"/>
      <c r="AA26" s="207"/>
      <c r="AB26" s="207"/>
      <c r="AC26" s="207" t="s">
        <v>43</v>
      </c>
      <c r="AD26" s="207"/>
      <c r="AE26" s="207"/>
      <c r="AF26" s="207"/>
      <c r="AG26" s="207"/>
    </row>
    <row r="27" spans="1:34" s="60" customFormat="1" ht="16.8" x14ac:dyDescent="0.3">
      <c r="A27" s="59"/>
      <c r="B27" s="59"/>
      <c r="C27" s="208" t="s">
        <v>44</v>
      </c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69"/>
      <c r="T27" s="69"/>
      <c r="U27" s="208"/>
      <c r="V27" s="208"/>
      <c r="W27" s="208"/>
      <c r="X27" s="208"/>
      <c r="Y27" s="208"/>
      <c r="Z27" s="208"/>
      <c r="AA27" s="208"/>
      <c r="AB27" s="208"/>
      <c r="AC27" s="208" t="s">
        <v>45</v>
      </c>
      <c r="AD27" s="208"/>
      <c r="AE27" s="208"/>
      <c r="AF27" s="208"/>
      <c r="AG27" s="208"/>
    </row>
  </sheetData>
  <mergeCells count="42">
    <mergeCell ref="C27:R27"/>
    <mergeCell ref="U27:AB27"/>
    <mergeCell ref="AC27:AG27"/>
    <mergeCell ref="K7:K8"/>
    <mergeCell ref="K6:N6"/>
    <mergeCell ref="L7:L8"/>
    <mergeCell ref="M7:M8"/>
    <mergeCell ref="N7:N8"/>
    <mergeCell ref="O6:S7"/>
    <mergeCell ref="V6:X7"/>
    <mergeCell ref="Y16:Y19"/>
    <mergeCell ref="AA16:AC19"/>
    <mergeCell ref="AD17:AE17"/>
    <mergeCell ref="AC25:AG25"/>
    <mergeCell ref="C26:R26"/>
    <mergeCell ref="U26:AB26"/>
    <mergeCell ref="AC26:AG26"/>
    <mergeCell ref="AD23:AF23"/>
    <mergeCell ref="Z6:Z8"/>
    <mergeCell ref="AA6:AE6"/>
    <mergeCell ref="AF6:AF8"/>
    <mergeCell ref="AG6:AG8"/>
    <mergeCell ref="AA14:AC14"/>
    <mergeCell ref="AA15:AC15"/>
    <mergeCell ref="AH6:AH8"/>
    <mergeCell ref="AA7:AA8"/>
    <mergeCell ref="AB7:AC7"/>
    <mergeCell ref="AD7:AD8"/>
    <mergeCell ref="AE7:AE8"/>
    <mergeCell ref="Y6:Y8"/>
    <mergeCell ref="D3:AA3"/>
    <mergeCell ref="AE4:AH5"/>
    <mergeCell ref="A6:A8"/>
    <mergeCell ref="B6:B8"/>
    <mergeCell ref="C6:C8"/>
    <mergeCell ref="D6:D8"/>
    <mergeCell ref="E6:E8"/>
    <mergeCell ref="F6:F8"/>
    <mergeCell ref="G6:J7"/>
    <mergeCell ref="D4:AA4"/>
    <mergeCell ref="T6:T8"/>
    <mergeCell ref="U6:U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2063-D777-48D3-90DC-9B46CA81FE89}">
  <dimension ref="A3:J26"/>
  <sheetViews>
    <sheetView topLeftCell="B1" workbookViewId="0">
      <selection activeCell="E23" sqref="E23"/>
    </sheetView>
  </sheetViews>
  <sheetFormatPr defaultRowHeight="14.4" x14ac:dyDescent="0.3"/>
  <cols>
    <col min="1" max="1" width="11.44140625" bestFit="1" customWidth="1"/>
    <col min="2" max="2" width="16.44140625" bestFit="1" customWidth="1"/>
    <col min="3" max="3" width="22.21875" customWidth="1"/>
    <col min="4" max="4" width="14.44140625" bestFit="1" customWidth="1"/>
    <col min="5" max="5" width="18.5546875" customWidth="1"/>
    <col min="6" max="6" width="12.109375" customWidth="1"/>
    <col min="7" max="7" width="15" customWidth="1"/>
    <col min="9" max="9" width="23.5546875" customWidth="1"/>
    <col min="10" max="10" width="21" customWidth="1"/>
  </cols>
  <sheetData>
    <row r="3" spans="1:10" x14ac:dyDescent="0.3">
      <c r="A3" s="126" t="s">
        <v>74</v>
      </c>
      <c r="B3" s="135" t="s">
        <v>75</v>
      </c>
      <c r="C3" s="136" t="s">
        <v>76</v>
      </c>
      <c r="D3" s="136" t="s">
        <v>77</v>
      </c>
      <c r="E3" s="136" t="s">
        <v>78</v>
      </c>
      <c r="F3" s="136" t="s">
        <v>79</v>
      </c>
      <c r="G3" s="137" t="s">
        <v>80</v>
      </c>
      <c r="I3" t="s">
        <v>81</v>
      </c>
      <c r="J3" t="s">
        <v>82</v>
      </c>
    </row>
    <row r="4" spans="1:10" x14ac:dyDescent="0.3">
      <c r="A4" s="127" t="s">
        <v>83</v>
      </c>
      <c r="B4" s="133">
        <v>1</v>
      </c>
      <c r="C4" s="128">
        <v>10000000</v>
      </c>
      <c r="D4" s="129">
        <v>0.05</v>
      </c>
      <c r="E4" s="128">
        <v>0</v>
      </c>
      <c r="F4" s="130"/>
      <c r="G4" s="134">
        <v>5</v>
      </c>
      <c r="I4" s="125">
        <v>15500000</v>
      </c>
      <c r="J4" s="125">
        <v>6200000</v>
      </c>
    </row>
    <row r="5" spans="1:10" x14ac:dyDescent="0.3">
      <c r="A5" s="127" t="s">
        <v>84</v>
      </c>
      <c r="B5" s="133">
        <v>10000001</v>
      </c>
      <c r="C5" s="128">
        <v>30000000</v>
      </c>
      <c r="D5" s="129">
        <v>0.1</v>
      </c>
      <c r="E5" s="128">
        <v>500000</v>
      </c>
      <c r="F5" s="130"/>
      <c r="G5" s="134">
        <v>10</v>
      </c>
    </row>
    <row r="6" spans="1:10" x14ac:dyDescent="0.3">
      <c r="A6" s="127" t="s">
        <v>85</v>
      </c>
      <c r="B6" s="133">
        <v>30000001</v>
      </c>
      <c r="C6" s="128">
        <v>60000000</v>
      </c>
      <c r="D6" s="129">
        <v>0.2</v>
      </c>
      <c r="E6" s="128">
        <v>2500000</v>
      </c>
      <c r="F6" s="130"/>
      <c r="G6" s="134">
        <v>20</v>
      </c>
    </row>
    <row r="7" spans="1:10" x14ac:dyDescent="0.3">
      <c r="A7" s="127" t="s">
        <v>86</v>
      </c>
      <c r="B7" s="133">
        <v>60000001</v>
      </c>
      <c r="C7" s="128">
        <v>100000000</v>
      </c>
      <c r="D7" s="129">
        <v>0.3</v>
      </c>
      <c r="E7" s="128">
        <v>8500000</v>
      </c>
      <c r="F7" s="130"/>
      <c r="G7" s="134">
        <v>30</v>
      </c>
    </row>
    <row r="8" spans="1:10" x14ac:dyDescent="0.3">
      <c r="A8" s="131" t="s">
        <v>87</v>
      </c>
      <c r="B8" s="138">
        <v>100000001</v>
      </c>
      <c r="C8" s="139">
        <v>999000000</v>
      </c>
      <c r="D8" s="140">
        <v>0.35</v>
      </c>
      <c r="E8" s="139">
        <v>20500000</v>
      </c>
      <c r="F8" s="141"/>
      <c r="G8" s="142">
        <v>35</v>
      </c>
    </row>
    <row r="13" spans="1:10" x14ac:dyDescent="0.3">
      <c r="C13" s="124">
        <v>5000000</v>
      </c>
      <c r="D13" s="124">
        <f>IF(AND(C13&lt;='Tham Chieu'!$C$4,C13&gt;0),C13*'Tham Chieu'!$D$4,IF(AND(C13&gt;'Tham Chieu'!$C$4,C13&lt;='Tham Chieu'!$C$5),$E$5+(C13-'Tham Chieu'!$C$4)*'Tham Chieu'!$D$5,IF(AND(C13&gt;'Tham Chieu'!$C$5,C13&lt;='Tham Chieu'!$C$6),$E$6+(C13-$C$5)*'Tham Chieu'!$D$6,IF(AND(C13&gt;$C$6,C13&lt;=$C$7),$E$7+(C13-$C$6)*$D$7,IF(AND(C13&gt;$C$7,C13&lt;=$C$8),$E$8+(C13-$C$7)*$D$8,0)))))</f>
        <v>250000</v>
      </c>
    </row>
    <row r="14" spans="1:10" x14ac:dyDescent="0.3">
      <c r="C14" s="132">
        <v>450000</v>
      </c>
      <c r="D14" s="124">
        <f>IF(AND(C14&lt;='Tham Chieu'!$C$4,C14&gt;0),C14*'Tham Chieu'!$D$4,IF(AND(C14&gt;'Tham Chieu'!$C$4,C14&lt;='Tham Chieu'!$C$5),$E$5+(C14-'Tham Chieu'!$C$4)*'Tham Chieu'!$D$5,IF(AND(C14&gt;'Tham Chieu'!$C$5,C14&lt;='Tham Chieu'!$C$6),$E$6+(C14-$C$5)*'Tham Chieu'!$D$6,IF(AND(C14&gt;$C$6,C14&lt;=$C$7),$E$7+(C14-$C$6)*$D$7,IF(AND(C14&gt;$C$7,C14&lt;=$C$8),$E$8+(C14-$C$7)*$D$8,0)))))</f>
        <v>22500</v>
      </c>
    </row>
    <row r="15" spans="1:10" x14ac:dyDescent="0.3">
      <c r="C15" s="132">
        <v>30150000</v>
      </c>
      <c r="D15" s="124">
        <f>IF(AND(C15&lt;='Tham Chieu'!$C$4,C15&gt;0),C15*'Tham Chieu'!$D$4,IF(AND(C15&gt;'Tham Chieu'!$C$4,C15&lt;='Tham Chieu'!$C$5),$E$5+(C15-'Tham Chieu'!$C$4)*'Tham Chieu'!$D$5,IF(AND(C15&gt;'Tham Chieu'!$C$5,C15&lt;='Tham Chieu'!$C$6),$E$6+(C15-$C$5)*'Tham Chieu'!$D$6,IF(AND(C15&gt;$C$6,C15&lt;=$C$7),$E$7+(C15-$C$6)*$D$7,IF(AND(C15&gt;$C$7,C15&lt;=$C$8),$E$8+(C15-$C$7)*$D$8,0)))))</f>
        <v>2530000</v>
      </c>
    </row>
    <row r="16" spans="1:10" x14ac:dyDescent="0.3">
      <c r="C16" s="132">
        <v>55200000</v>
      </c>
      <c r="D16" s="124">
        <f>IF(AND(C16&lt;='Tham Chieu'!$C$4,C16&gt;0),C16*'Tham Chieu'!$D$4,IF(AND(C16&gt;'Tham Chieu'!$C$4,C16&lt;='Tham Chieu'!$C$5),$E$5+(C16-'Tham Chieu'!$C$4)*'Tham Chieu'!$D$5,IF(AND(C16&gt;'Tham Chieu'!$C$5,C16&lt;='Tham Chieu'!$C$6),$E$6+(C16-$C$5)*'Tham Chieu'!$D$6,IF(AND(C16&gt;$C$6,C16&lt;=$C$7),$E$7+(C16-$C$6)*$D$7,IF(AND(C16&gt;$C$7,C16&lt;=$C$8),$E$8+(C16-$C$7)*$D$8,0)))))</f>
        <v>7540000</v>
      </c>
    </row>
    <row r="17" spans="4:4" x14ac:dyDescent="0.3">
      <c r="D17" s="124">
        <f>IF(AND(C17&lt;='Tham Chieu'!$C$4,C17&gt;0),C17*'Tham Chieu'!$D$4,IF(AND(C17&gt;'Tham Chieu'!$C$4,C17&lt;='Tham Chieu'!$C$5),$E$5+(C17-'Tham Chieu'!$C$4)*'Tham Chieu'!$D$5,IF(AND(C17&gt;'Tham Chieu'!$C$5,C17&lt;='Tham Chieu'!$C$6),$E$6+(C17-$C$5)*'Tham Chieu'!$D$6,IF(AND(C17&gt;$C$6,C17&lt;=$C$7),$E$7+(C17-$C$6)*$D$7,IF(AND(C17&gt;$C$7,C17&lt;=$C$8),$E$8+(C17-$C$7)*$D$8,0)))))</f>
        <v>0</v>
      </c>
    </row>
    <row r="18" spans="4:4" x14ac:dyDescent="0.3">
      <c r="D18" s="124">
        <f>IF(AND(C18&lt;='Tham Chieu'!$C$4,C18&gt;0),C18*'Tham Chieu'!$D$4,IF(AND(C18&gt;'Tham Chieu'!$C$4,C18&lt;='Tham Chieu'!$C$5),$E$5+(C18-'Tham Chieu'!$C$4)*'Tham Chieu'!$D$5,IF(AND(C18&gt;'Tham Chieu'!$C$5,C18&lt;='Tham Chieu'!$C$6),$E$6+(C18-$C$5)*'Tham Chieu'!$D$6,IF(AND(C18&gt;$C$6,C18&lt;=$C$7),$E$7+(C18-$C$6)*$D$7,IF(AND(C18&gt;$C$7,C18&lt;=$C$8),$E$8+(C18-$C$7)*$D$8,0)))))</f>
        <v>0</v>
      </c>
    </row>
    <row r="19" spans="4:4" x14ac:dyDescent="0.3">
      <c r="D19" s="124">
        <f>IF(AND(C19&lt;='Tham Chieu'!$C$4,C19&gt;0),C19*'Tham Chieu'!$D$4,IF(AND(C19&gt;'Tham Chieu'!$C$4,C19&lt;='Tham Chieu'!$C$5),$E$5+(C19-'Tham Chieu'!$C$4)*'Tham Chieu'!$D$5,IF(AND(C19&gt;'Tham Chieu'!$C$5,C19&lt;='Tham Chieu'!$C$6),$E$6+(C19-$C$5)*'Tham Chieu'!$D$6,IF(AND(C19&gt;$C$6,C19&lt;=$C$7),$E$7+(C19-$C$6)*$D$7,IF(AND(C19&gt;$C$7,C19&lt;=$C$8),$E$8+(C19-$C$7)*$D$8,0)))))</f>
        <v>0</v>
      </c>
    </row>
    <row r="20" spans="4:4" x14ac:dyDescent="0.3">
      <c r="D20" s="124">
        <f>IF(AND(C20&lt;='Tham Chieu'!$C$4,C20&gt;0),C20*'Tham Chieu'!$D$4,IF(AND(C20&gt;'Tham Chieu'!$C$4,C20&lt;='Tham Chieu'!$C$5),$E$5+(C20-'Tham Chieu'!$C$4)*'Tham Chieu'!$D$5,IF(AND(C20&gt;'Tham Chieu'!$C$5,C20&lt;='Tham Chieu'!$C$6),$E$6+(C20-$C$5)*'Tham Chieu'!$D$6,IF(AND(C20&gt;$C$6,C20&lt;=$C$7),$E$7+(C20-$C$6)*$D$7,IF(AND(C20&gt;$C$7,C20&lt;=$C$8),$E$8+(C20-$C$7)*$D$8,0)))))</f>
        <v>0</v>
      </c>
    </row>
    <row r="21" spans="4:4" x14ac:dyDescent="0.3">
      <c r="D21" s="124">
        <f>IF(AND(C21&lt;='Tham Chieu'!$C$4,C21&gt;0),C21*'Tham Chieu'!$D$4,IF(AND(C21&gt;'Tham Chieu'!$C$4,C21&lt;='Tham Chieu'!$C$5),$E$5+(C21-'Tham Chieu'!$C$4)*'Tham Chieu'!$D$5,IF(AND(C21&gt;'Tham Chieu'!$C$5,C21&lt;='Tham Chieu'!$C$6),$E$6+(C21-$C$5)*'Tham Chieu'!$D$6,IF(AND(C21&gt;$C$6,C21&lt;=$C$7),$E$7+(C21-$C$6)*$D$7,IF(AND(C21&gt;$C$7,C21&lt;=$C$8),$E$8+(C21-$C$7)*$D$8,0)))))</f>
        <v>0</v>
      </c>
    </row>
    <row r="22" spans="4:4" x14ac:dyDescent="0.3">
      <c r="D22" s="124">
        <f>IF(AND(C22&lt;='Tham Chieu'!$C$4,C22&gt;0),C22*'Tham Chieu'!$D$4,IF(AND(C22&gt;'Tham Chieu'!$C$4,C22&lt;='Tham Chieu'!$C$5),$E$5+(C22-'Tham Chieu'!$C$4)*'Tham Chieu'!$D$5,IF(AND(C22&gt;'Tham Chieu'!$C$5,C22&lt;='Tham Chieu'!$C$6),$E$6+(C22-$C$5)*'Tham Chieu'!$D$6,IF(AND(C22&gt;$C$6,C22&lt;=$C$7),$E$7+(C22-$C$6)*$D$7,IF(AND(C22&gt;$C$7,C22&lt;=$C$8),$E$8+(C22-$C$7)*$D$8,0)))))</f>
        <v>0</v>
      </c>
    </row>
    <row r="23" spans="4:4" x14ac:dyDescent="0.3">
      <c r="D23" s="124">
        <f>IF(AND(C23&lt;='Tham Chieu'!$C$4,C23&gt;0),C23*'Tham Chieu'!$D$4,IF(AND(C23&gt;'Tham Chieu'!$C$4,C23&lt;='Tham Chieu'!$C$5),$E$5+(C23-'Tham Chieu'!$C$4)*'Tham Chieu'!$D$5,IF(AND(C23&gt;'Tham Chieu'!$C$5,C23&lt;='Tham Chieu'!$C$6),$E$6+(C23-$C$5)*'Tham Chieu'!$D$6,IF(AND(C23&gt;$C$6,C23&lt;=$C$7),$E$7+(C23-$C$6)*$D$7,IF(AND(C23&gt;$C$7,C23&lt;=$C$8),$E$8+(C23-$C$7)*$D$8,0)))))</f>
        <v>0</v>
      </c>
    </row>
    <row r="24" spans="4:4" x14ac:dyDescent="0.3">
      <c r="D24" s="124">
        <f>IF(AND(C24&lt;='Tham Chieu'!$C$4,C24&gt;0),C24*'Tham Chieu'!$D$4,IF(AND(C24&gt;'Tham Chieu'!$C$4,C24&lt;='Tham Chieu'!$C$5),$E$5+(C24-'Tham Chieu'!$C$4)*'Tham Chieu'!$D$5,IF(AND(C24&gt;'Tham Chieu'!$C$5,C24&lt;='Tham Chieu'!$C$6),$E$6+(C24-$C$5)*'Tham Chieu'!$D$6,IF(AND(C24&gt;$C$6,C24&lt;=$C$7),$E$7+(C24-$C$6)*$D$7,IF(AND(C24&gt;$C$7,C24&lt;=$C$8),$E$8+(C24-$C$7)*$D$8,0)))))</f>
        <v>0</v>
      </c>
    </row>
    <row r="25" spans="4:4" x14ac:dyDescent="0.3">
      <c r="D25" s="124">
        <f>IF(AND(C25&lt;='Tham Chieu'!$C$4,C25&gt;0),C25*'Tham Chieu'!$D$4,IF(AND(C25&gt;'Tham Chieu'!$C$4,C25&lt;='Tham Chieu'!$C$5),$E$5+(C25-'Tham Chieu'!$C$4)*'Tham Chieu'!$D$5,IF(AND(C25&gt;'Tham Chieu'!$C$5,C25&lt;='Tham Chieu'!$C$6),$E$6+(C25-$C$5)*'Tham Chieu'!$D$6,IF(AND(C25&gt;$C$6,C25&lt;=$C$7),$E$7+(C25-$C$6)*$D$7,IF(AND(C25&gt;$C$7,C25&lt;=$C$8),$E$8+(C25-$C$7)*$D$8,0)))))</f>
        <v>0</v>
      </c>
    </row>
    <row r="26" spans="4:4" x14ac:dyDescent="0.3">
      <c r="D26" s="124">
        <f>IF(AND(C26&lt;='Tham Chieu'!$C$4,C26&gt;0),C26*'Tham Chieu'!$D$4,IF(AND(C26&gt;'Tham Chieu'!$C$4,C26&lt;='Tham Chieu'!$C$5),$E$5+(C26-'Tham Chieu'!$C$4)*'Tham Chieu'!$D$5,IF(AND(C26&gt;'Tham Chieu'!$C$5,C26&lt;='Tham Chieu'!$C$6),$E$6+(C26-$C$5)*'Tham Chieu'!$D$6,IF(AND(C26&gt;$C$6,C26&lt;=$C$7),$E$7+(C26-$C$6)*$D$7,IF(AND(C26&gt;$C$7,C26&lt;=$C$8),$E$8+(C26-$C$7)*$D$8,0)))))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Bảng tính thuế TNCN</vt:lpstr>
      <vt:lpstr>Tham Chieu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Vũ Đình Cường</cp:lastModifiedBy>
  <dcterms:created xsi:type="dcterms:W3CDTF">2018-01-08T07:40:53Z</dcterms:created>
  <dcterms:modified xsi:type="dcterms:W3CDTF">2026-01-09T04:59:35Z</dcterms:modified>
</cp:coreProperties>
</file>